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2.xml" ContentType="application/vnd.ms-excel.threadedcomments+xml"/>
  <Override PartName="/xl/comments6.xml" ContentType="application/vnd.openxmlformats-officedocument.spreadsheetml.comments+xml"/>
  <Override PartName="/xl/threadedComments/threadedComment3.xml" ContentType="application/vnd.ms-excel.threadedcomments+xml"/>
  <Override PartName="/xl/comments7.xml" ContentType="application/vnd.openxmlformats-officedocument.spreadsheetml.comments+xml"/>
  <Override PartName="/xl/threadedComments/threadedComment4.xml" ContentType="application/vnd.ms-excel.threadedcomments+xml"/>
  <Override PartName="/xl/comments8.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worldwildlifefund.sharepoint.com/sites/WWFGEFAgency/Shared Documents/General/3. Reporting and M&amp;E (EXECUTION)/PIR &amp;  PrISM/PIR/Reporting to the GEF- PIRs/FY2025/Final PIR/ILAM/"/>
    </mc:Choice>
  </mc:AlternateContent>
  <xr:revisionPtr revIDLastSave="2" documentId="8_{44684342-2811-4521-B8D1-0931C4B2FF44}" xr6:coauthVersionLast="47" xr6:coauthVersionMax="47" xr10:uidLastSave="{A07B2507-99F3-4C67-8F14-1B775CD4E098}"/>
  <bookViews>
    <workbookView xWindow="760" yWindow="760" windowWidth="14400" windowHeight="8170" firstSheet="6" activeTab="6" xr2:uid="{00000000-000D-0000-FFFF-FFFF00000000}"/>
  </bookViews>
  <sheets>
    <sheet name="Working sheet 2014" sheetId="3" state="hidden" r:id="rId1"/>
    <sheet name="Guidance" sheetId="26" r:id="rId2"/>
    <sheet name="Snapshot" sheetId="27" r:id="rId3"/>
    <sheet name="Results Framework" sheetId="21" r:id="rId4"/>
    <sheet name="Sheet1" sheetId="68" r:id="rId5"/>
    <sheet name="Sheet2" sheetId="69" r:id="rId6"/>
    <sheet name="AWPB Yr 1 " sheetId="67" r:id="rId7"/>
    <sheet name="AWPB Yr 2" sheetId="40" r:id="rId8"/>
    <sheet name="AWPB Yr 3" sheetId="56" r:id="rId9"/>
    <sheet name="AWPB Yr 4" sheetId="60" r:id="rId10"/>
    <sheet name="AWPB Yr 5" sheetId="64" r:id="rId11"/>
    <sheet name="AWPB Yr 6" sheetId="66" r:id="rId12"/>
    <sheet name="Full Project Workplan" sheetId="28" r:id="rId13"/>
  </sheets>
  <definedNames>
    <definedName name="_xlnm._FilterDatabase" localSheetId="12" hidden="1">'Full Project Workplan'!$A$3:$H$3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64" l="1"/>
  <c r="V54" i="21"/>
  <c r="V51" i="21"/>
  <c r="V47" i="21"/>
  <c r="V15" i="21" l="1"/>
  <c r="U15" i="21"/>
  <c r="P98" i="64"/>
  <c r="H10" i="27" s="1"/>
  <c r="P46" i="64"/>
  <c r="H9" i="27" s="1"/>
  <c r="P28" i="64"/>
  <c r="Y89" i="21"/>
  <c r="V89" i="21"/>
  <c r="G12" i="27"/>
  <c r="H12" i="27"/>
  <c r="H11" i="27"/>
  <c r="P130" i="64"/>
  <c r="H8" i="27"/>
  <c r="N130" i="64"/>
  <c r="V87" i="21" l="1"/>
  <c r="V32" i="21"/>
  <c r="V20" i="21"/>
  <c r="V21" i="21" s="1"/>
  <c r="V62" i="21"/>
  <c r="V73" i="21" s="1"/>
  <c r="V68" i="21"/>
  <c r="V7" i="21"/>
  <c r="U6" i="21"/>
  <c r="V6" i="21" s="1"/>
  <c r="V63" i="21"/>
  <c r="V79" i="21"/>
  <c r="S73" i="21"/>
  <c r="V67" i="21"/>
  <c r="V66" i="21"/>
  <c r="V64" i="21"/>
  <c r="U46" i="21"/>
  <c r="U45" i="21"/>
  <c r="V41" i="21"/>
  <c r="V42" i="21"/>
  <c r="V43" i="21"/>
  <c r="V40" i="21"/>
  <c r="U34" i="21"/>
  <c r="U33" i="21"/>
  <c r="U11" i="21" l="1"/>
  <c r="U8" i="21"/>
  <c r="U7" i="21"/>
  <c r="R63" i="21" l="1"/>
  <c r="I85" i="66"/>
  <c r="I149" i="66"/>
  <c r="I132" i="66"/>
  <c r="I121" i="66"/>
  <c r="I111" i="66"/>
  <c r="I20" i="66"/>
  <c r="I18" i="66"/>
  <c r="I29" i="66"/>
  <c r="Y36" i="21"/>
  <c r="H9" i="21"/>
  <c r="I9" i="21"/>
  <c r="H15" i="21"/>
  <c r="I15" i="21"/>
  <c r="I19" i="21" s="1"/>
  <c r="H18" i="21"/>
  <c r="H19" i="21"/>
  <c r="H26" i="21"/>
  <c r="J26" i="21" s="1"/>
  <c r="I26" i="21"/>
  <c r="J86" i="21"/>
  <c r="J85" i="21"/>
  <c r="J84" i="21"/>
  <c r="J83" i="21"/>
  <c r="J81" i="21"/>
  <c r="J80" i="21"/>
  <c r="J78" i="21"/>
  <c r="J77" i="21"/>
  <c r="J76" i="21"/>
  <c r="J75" i="21"/>
  <c r="J72" i="21"/>
  <c r="J71" i="21"/>
  <c r="J70" i="21"/>
  <c r="J69" i="21"/>
  <c r="J68" i="21"/>
  <c r="J67" i="21"/>
  <c r="J66" i="21"/>
  <c r="J65" i="21"/>
  <c r="J63" i="21"/>
  <c r="J61" i="21"/>
  <c r="J60" i="21"/>
  <c r="J59" i="21"/>
  <c r="J57" i="21"/>
  <c r="J56" i="21"/>
  <c r="J55" i="21"/>
  <c r="J53" i="21"/>
  <c r="J52" i="21"/>
  <c r="J50" i="21"/>
  <c r="J49" i="21"/>
  <c r="J48" i="21"/>
  <c r="J46" i="21"/>
  <c r="J45" i="21"/>
  <c r="J43" i="21"/>
  <c r="J42" i="21"/>
  <c r="J41" i="21"/>
  <c r="J40" i="21"/>
  <c r="J37" i="21"/>
  <c r="J36" i="21"/>
  <c r="J34" i="21"/>
  <c r="J33" i="21"/>
  <c r="J31" i="21"/>
  <c r="J28" i="21"/>
  <c r="J27" i="21"/>
  <c r="J25" i="21"/>
  <c r="J24" i="21"/>
  <c r="J23" i="21"/>
  <c r="J17" i="21"/>
  <c r="J16" i="21"/>
  <c r="J14" i="21"/>
  <c r="J12" i="21"/>
  <c r="J11" i="21"/>
  <c r="J10" i="21"/>
  <c r="J8" i="21"/>
  <c r="J7" i="21"/>
  <c r="J6" i="21"/>
  <c r="G11" i="27"/>
  <c r="G10" i="27"/>
  <c r="G9" i="27"/>
  <c r="G8" i="27"/>
  <c r="F12" i="27"/>
  <c r="F11" i="27"/>
  <c r="F10" i="27"/>
  <c r="F9" i="27"/>
  <c r="F8" i="27"/>
  <c r="E12" i="27"/>
  <c r="E11" i="27"/>
  <c r="E10" i="27"/>
  <c r="E9" i="27"/>
  <c r="E8" i="27"/>
  <c r="BA204" i="67"/>
  <c r="AZ204" i="67"/>
  <c r="AY204" i="67"/>
  <c r="AX204" i="67"/>
  <c r="AW204" i="67"/>
  <c r="AV204" i="67"/>
  <c r="AU204" i="67"/>
  <c r="AT204" i="67"/>
  <c r="AS204" i="67"/>
  <c r="AR204" i="67"/>
  <c r="AQ204" i="67"/>
  <c r="AP204" i="67"/>
  <c r="AO204" i="67"/>
  <c r="AN204" i="67"/>
  <c r="AM204" i="67"/>
  <c r="AL204" i="67"/>
  <c r="AJ204" i="67"/>
  <c r="AW203" i="67"/>
  <c r="AX203" i="67" s="1"/>
  <c r="AJ203" i="67"/>
  <c r="AW202" i="67"/>
  <c r="AX202" i="67" s="1"/>
  <c r="AJ202" i="67"/>
  <c r="AY202" i="67" s="1"/>
  <c r="AZ202" i="67" s="1"/>
  <c r="AX201" i="67"/>
  <c r="AY201" i="67" s="1"/>
  <c r="AZ201" i="67" s="1"/>
  <c r="AW201" i="67"/>
  <c r="AJ201" i="67"/>
  <c r="AQ201" i="67" s="1"/>
  <c r="AW200" i="67"/>
  <c r="AX200" i="67" s="1"/>
  <c r="AY200" i="67" s="1"/>
  <c r="AZ200" i="67" s="1"/>
  <c r="AQ200" i="67"/>
  <c r="AJ200" i="67"/>
  <c r="AW199" i="67"/>
  <c r="AX199" i="67" s="1"/>
  <c r="AJ199" i="67"/>
  <c r="AQ199" i="67" s="1"/>
  <c r="AW198" i="67"/>
  <c r="AX198" i="67" s="1"/>
  <c r="AJ198" i="67"/>
  <c r="AY198" i="67" s="1"/>
  <c r="AZ198" i="67" s="1"/>
  <c r="AX197" i="67"/>
  <c r="AY197" i="67" s="1"/>
  <c r="AZ197" i="67" s="1"/>
  <c r="AW197" i="67"/>
  <c r="AJ197" i="67"/>
  <c r="AQ197" i="67" s="1"/>
  <c r="AW196" i="67"/>
  <c r="AX196" i="67" s="1"/>
  <c r="AY196" i="67" s="1"/>
  <c r="AZ196" i="67" s="1"/>
  <c r="AQ196" i="67"/>
  <c r="AJ196" i="67"/>
  <c r="AW195" i="67"/>
  <c r="AX195" i="67" s="1"/>
  <c r="AJ195" i="67"/>
  <c r="AQ195" i="67" s="1"/>
  <c r="AW194" i="67"/>
  <c r="AX194" i="67" s="1"/>
  <c r="AJ194" i="67"/>
  <c r="AX193" i="67"/>
  <c r="AY193" i="67" s="1"/>
  <c r="AZ193" i="67" s="1"/>
  <c r="AW193" i="67"/>
  <c r="AJ193" i="67"/>
  <c r="AQ193" i="67" s="1"/>
  <c r="AW192" i="67"/>
  <c r="AX192" i="67" s="1"/>
  <c r="AY192" i="67" s="1"/>
  <c r="AZ192" i="67" s="1"/>
  <c r="AQ192" i="67"/>
  <c r="AJ192" i="67"/>
  <c r="AW191" i="67"/>
  <c r="AX191" i="67" s="1"/>
  <c r="AJ191" i="67"/>
  <c r="AQ191" i="67" s="1"/>
  <c r="AW190" i="67"/>
  <c r="AX190" i="67" s="1"/>
  <c r="AJ190" i="67"/>
  <c r="AX189" i="67"/>
  <c r="AY189" i="67" s="1"/>
  <c r="AW189" i="67"/>
  <c r="AJ189" i="67"/>
  <c r="AQ189" i="67" s="1"/>
  <c r="AW188" i="67"/>
  <c r="AV188" i="67"/>
  <c r="AU188" i="67"/>
  <c r="AT188" i="67"/>
  <c r="AS188" i="67"/>
  <c r="AR188" i="67"/>
  <c r="AP188" i="67"/>
  <c r="AO188" i="67"/>
  <c r="AN188" i="67"/>
  <c r="AM188" i="67"/>
  <c r="AL188" i="67"/>
  <c r="AF188" i="67"/>
  <c r="AE188" i="67"/>
  <c r="AD188" i="67"/>
  <c r="AC188" i="67"/>
  <c r="T179" i="67"/>
  <c r="T163" i="67" s="1"/>
  <c r="S179" i="67"/>
  <c r="S163" i="67" s="1"/>
  <c r="O179" i="67"/>
  <c r="N179" i="67"/>
  <c r="J179" i="67"/>
  <c r="I179" i="67"/>
  <c r="K178" i="67"/>
  <c r="K177" i="67"/>
  <c r="K176" i="67"/>
  <c r="K175" i="67"/>
  <c r="K174" i="67"/>
  <c r="K173" i="67"/>
  <c r="K172" i="67"/>
  <c r="K171" i="67"/>
  <c r="K170" i="67"/>
  <c r="K169" i="67"/>
  <c r="K168" i="67"/>
  <c r="K167" i="67"/>
  <c r="K166" i="67"/>
  <c r="K165" i="67"/>
  <c r="K164" i="67"/>
  <c r="J163" i="67"/>
  <c r="I163" i="67"/>
  <c r="T162" i="67"/>
  <c r="S162" i="67"/>
  <c r="N162" i="67"/>
  <c r="J162" i="67"/>
  <c r="I162" i="67"/>
  <c r="I143" i="67" s="1"/>
  <c r="K161" i="67"/>
  <c r="K160" i="67"/>
  <c r="K159" i="67"/>
  <c r="K158" i="67"/>
  <c r="K157" i="67"/>
  <c r="K156" i="67"/>
  <c r="K155" i="67"/>
  <c r="K154" i="67"/>
  <c r="K153" i="67"/>
  <c r="K152" i="67"/>
  <c r="K151" i="67"/>
  <c r="K150" i="67"/>
  <c r="K149" i="67"/>
  <c r="K148" i="67"/>
  <c r="K147" i="67"/>
  <c r="K146" i="67"/>
  <c r="K145" i="67"/>
  <c r="K144" i="67"/>
  <c r="K162" i="67" s="1"/>
  <c r="K143" i="67" s="1"/>
  <c r="T143" i="67"/>
  <c r="S143" i="67"/>
  <c r="J143" i="67"/>
  <c r="T142" i="67"/>
  <c r="S142" i="67"/>
  <c r="S129" i="67" s="1"/>
  <c r="S128" i="67" s="1"/>
  <c r="O142" i="67"/>
  <c r="N142" i="67"/>
  <c r="J142" i="67"/>
  <c r="J129" i="67" s="1"/>
  <c r="I142" i="67"/>
  <c r="K141" i="67"/>
  <c r="K140" i="67"/>
  <c r="K139" i="67"/>
  <c r="K138" i="67"/>
  <c r="K137" i="67"/>
  <c r="K136" i="67"/>
  <c r="K135" i="67"/>
  <c r="K134" i="67"/>
  <c r="K133" i="67"/>
  <c r="K132" i="67"/>
  <c r="K131" i="67"/>
  <c r="K130" i="67"/>
  <c r="K142" i="67" s="1"/>
  <c r="K129" i="67" s="1"/>
  <c r="T129" i="67"/>
  <c r="I129" i="67"/>
  <c r="T127" i="67"/>
  <c r="T119" i="67" s="1"/>
  <c r="S127" i="67"/>
  <c r="O127" i="67"/>
  <c r="N127" i="67"/>
  <c r="J127" i="67"/>
  <c r="J119" i="67" s="1"/>
  <c r="I127" i="67"/>
  <c r="P126" i="67"/>
  <c r="K126" i="67"/>
  <c r="P125" i="67"/>
  <c r="K125" i="67"/>
  <c r="P124" i="67"/>
  <c r="K124" i="67"/>
  <c r="P123" i="67"/>
  <c r="K123" i="67"/>
  <c r="P122" i="67"/>
  <c r="K122" i="67"/>
  <c r="P121" i="67"/>
  <c r="K121" i="67"/>
  <c r="P120" i="67"/>
  <c r="K120" i="67"/>
  <c r="S119" i="67"/>
  <c r="I119" i="67"/>
  <c r="T118" i="67"/>
  <c r="S118" i="67"/>
  <c r="S107" i="67" s="1"/>
  <c r="S95" i="67" s="1"/>
  <c r="O118" i="67"/>
  <c r="N118" i="67"/>
  <c r="J118" i="67"/>
  <c r="J107" i="67" s="1"/>
  <c r="I118" i="67"/>
  <c r="P117" i="67"/>
  <c r="K117" i="67"/>
  <c r="P116" i="67"/>
  <c r="K116" i="67"/>
  <c r="P115" i="67"/>
  <c r="K115" i="67"/>
  <c r="P114" i="67"/>
  <c r="K114" i="67"/>
  <c r="P113" i="67"/>
  <c r="K113" i="67"/>
  <c r="P112" i="67"/>
  <c r="K112" i="67"/>
  <c r="P111" i="67"/>
  <c r="K111" i="67"/>
  <c r="P110" i="67"/>
  <c r="K110" i="67"/>
  <c r="P109" i="67"/>
  <c r="K109" i="67"/>
  <c r="P108" i="67"/>
  <c r="K108" i="67"/>
  <c r="T107" i="67"/>
  <c r="I107" i="67"/>
  <c r="T106" i="67"/>
  <c r="S106" i="67"/>
  <c r="O106" i="67"/>
  <c r="N106" i="67"/>
  <c r="J106" i="67"/>
  <c r="I106" i="67"/>
  <c r="P105" i="67"/>
  <c r="K105" i="67"/>
  <c r="P104" i="67"/>
  <c r="K104" i="67"/>
  <c r="P103" i="67"/>
  <c r="K103" i="67"/>
  <c r="P102" i="67"/>
  <c r="K102" i="67"/>
  <c r="P101" i="67"/>
  <c r="K101" i="67"/>
  <c r="T100" i="67"/>
  <c r="T96" i="67" s="1"/>
  <c r="T95" i="67" s="1"/>
  <c r="S100" i="67"/>
  <c r="O100" i="67"/>
  <c r="N100" i="67"/>
  <c r="J100" i="67"/>
  <c r="J96" i="67" s="1"/>
  <c r="I100" i="67"/>
  <c r="I96" i="67" s="1"/>
  <c r="I95" i="67" s="1"/>
  <c r="P99" i="67"/>
  <c r="K99" i="67"/>
  <c r="P98" i="67"/>
  <c r="K98" i="67"/>
  <c r="P97" i="67"/>
  <c r="K97" i="67"/>
  <c r="S96" i="67"/>
  <c r="T94" i="67"/>
  <c r="S94" i="67"/>
  <c r="O94" i="67"/>
  <c r="N94" i="67"/>
  <c r="J94" i="67"/>
  <c r="I94" i="67"/>
  <c r="P93" i="67"/>
  <c r="K93" i="67"/>
  <c r="P92" i="67"/>
  <c r="K92" i="67"/>
  <c r="P91" i="67"/>
  <c r="K91" i="67"/>
  <c r="P90" i="67"/>
  <c r="K90" i="67"/>
  <c r="T89" i="67"/>
  <c r="S89" i="67"/>
  <c r="S85" i="67" s="1"/>
  <c r="O89" i="67"/>
  <c r="N89" i="67"/>
  <c r="J89" i="67"/>
  <c r="I89" i="67"/>
  <c r="I85" i="67" s="1"/>
  <c r="P88" i="67"/>
  <c r="K88" i="67"/>
  <c r="P87" i="67"/>
  <c r="K87" i="67"/>
  <c r="P86" i="67"/>
  <c r="K86" i="67"/>
  <c r="K89" i="67" s="1"/>
  <c r="T85" i="67"/>
  <c r="T84" i="67"/>
  <c r="S84" i="67"/>
  <c r="O84" i="67"/>
  <c r="N84" i="67"/>
  <c r="J84" i="67"/>
  <c r="J68" i="67" s="1"/>
  <c r="I84" i="67"/>
  <c r="P83" i="67"/>
  <c r="K83" i="67"/>
  <c r="P82" i="67"/>
  <c r="K82" i="67"/>
  <c r="P81" i="67"/>
  <c r="K81" i="67"/>
  <c r="K84" i="67" s="1"/>
  <c r="P80" i="67"/>
  <c r="K80" i="67"/>
  <c r="T79" i="67"/>
  <c r="S79" i="67"/>
  <c r="O79" i="67"/>
  <c r="N79" i="67"/>
  <c r="J79" i="67"/>
  <c r="I79" i="67"/>
  <c r="P78" i="67"/>
  <c r="K78" i="67"/>
  <c r="P77" i="67"/>
  <c r="K77" i="67"/>
  <c r="P76" i="67"/>
  <c r="K76" i="67"/>
  <c r="P75" i="67"/>
  <c r="K75" i="67"/>
  <c r="P74" i="67"/>
  <c r="K74" i="67"/>
  <c r="T73" i="67"/>
  <c r="S73" i="67"/>
  <c r="O73" i="67"/>
  <c r="N73" i="67"/>
  <c r="J73" i="67"/>
  <c r="I73" i="67"/>
  <c r="I68" i="67" s="1"/>
  <c r="P72" i="67"/>
  <c r="K72" i="67"/>
  <c r="P71" i="67"/>
  <c r="K71" i="67"/>
  <c r="P70" i="67"/>
  <c r="K70" i="67"/>
  <c r="K73" i="67" s="1"/>
  <c r="P69" i="67"/>
  <c r="K69" i="67"/>
  <c r="T68" i="67"/>
  <c r="S68" i="67"/>
  <c r="T67" i="67"/>
  <c r="S67" i="67"/>
  <c r="O67" i="67"/>
  <c r="N67" i="67"/>
  <c r="J67" i="67"/>
  <c r="I67" i="67"/>
  <c r="P66" i="67"/>
  <c r="K66" i="67"/>
  <c r="P65" i="67"/>
  <c r="K65" i="67"/>
  <c r="K64" i="67"/>
  <c r="P63" i="67"/>
  <c r="K63" i="67"/>
  <c r="P62" i="67"/>
  <c r="K62" i="67"/>
  <c r="P61" i="67"/>
  <c r="K61" i="67"/>
  <c r="P60" i="67"/>
  <c r="K60" i="67"/>
  <c r="K67" i="67" s="1"/>
  <c r="T59" i="67"/>
  <c r="S59" i="67"/>
  <c r="O59" i="67"/>
  <c r="N59" i="67"/>
  <c r="J59" i="67"/>
  <c r="I59" i="67"/>
  <c r="I45" i="67" s="1"/>
  <c r="P58" i="67"/>
  <c r="K58" i="67"/>
  <c r="P57" i="67"/>
  <c r="K57" i="67"/>
  <c r="P56" i="67"/>
  <c r="K56" i="67"/>
  <c r="P55" i="67"/>
  <c r="K55" i="67"/>
  <c r="P54" i="67"/>
  <c r="K54" i="67"/>
  <c r="K59" i="67" s="1"/>
  <c r="P53" i="67"/>
  <c r="K53" i="67"/>
  <c r="T52" i="67"/>
  <c r="S52" i="67"/>
  <c r="O52" i="67"/>
  <c r="N52" i="67"/>
  <c r="J52" i="67"/>
  <c r="I52" i="67"/>
  <c r="P51" i="67"/>
  <c r="K51" i="67"/>
  <c r="P50" i="67"/>
  <c r="K50" i="67"/>
  <c r="P49" i="67"/>
  <c r="K49" i="67"/>
  <c r="P48" i="67"/>
  <c r="K48" i="67"/>
  <c r="P47" i="67"/>
  <c r="K47" i="67"/>
  <c r="P46" i="67"/>
  <c r="K46" i="67"/>
  <c r="T45" i="67"/>
  <c r="T44" i="67" s="1"/>
  <c r="S45" i="67"/>
  <c r="S44" i="67" s="1"/>
  <c r="J45" i="67"/>
  <c r="T43" i="67"/>
  <c r="S43" i="67"/>
  <c r="O43" i="67"/>
  <c r="N43" i="67"/>
  <c r="K43" i="67"/>
  <c r="J43" i="67"/>
  <c r="I43" i="67"/>
  <c r="P42" i="67"/>
  <c r="K42" i="67"/>
  <c r="P41" i="67"/>
  <c r="K41" i="67"/>
  <c r="T40" i="67"/>
  <c r="S40" i="67"/>
  <c r="S36" i="67" s="1"/>
  <c r="O40" i="67"/>
  <c r="N40" i="67"/>
  <c r="J40" i="67"/>
  <c r="J36" i="67" s="1"/>
  <c r="J30" i="67" s="1"/>
  <c r="I40" i="67"/>
  <c r="I36" i="67" s="1"/>
  <c r="P39" i="67"/>
  <c r="K39" i="67"/>
  <c r="P38" i="67"/>
  <c r="K38" i="67"/>
  <c r="P37" i="67"/>
  <c r="P40" i="67" s="1"/>
  <c r="K37" i="67"/>
  <c r="K40" i="67" s="1"/>
  <c r="K36" i="67" s="1"/>
  <c r="T36" i="67"/>
  <c r="T35" i="67"/>
  <c r="S35" i="67"/>
  <c r="O35" i="67"/>
  <c r="N35" i="67"/>
  <c r="J35" i="67"/>
  <c r="I35" i="67"/>
  <c r="I31" i="67" s="1"/>
  <c r="P34" i="67"/>
  <c r="K34" i="67"/>
  <c r="P33" i="67"/>
  <c r="K33" i="67"/>
  <c r="P32" i="67"/>
  <c r="K32" i="67"/>
  <c r="K35" i="67" s="1"/>
  <c r="K31" i="67" s="1"/>
  <c r="T31" i="67"/>
  <c r="T30" i="67" s="1"/>
  <c r="S31" i="67"/>
  <c r="S30" i="67" s="1"/>
  <c r="J31" i="67"/>
  <c r="T29" i="67"/>
  <c r="S29" i="67"/>
  <c r="O29" i="67"/>
  <c r="N29" i="67"/>
  <c r="J29" i="67"/>
  <c r="I29" i="67"/>
  <c r="P28" i="67"/>
  <c r="K28" i="67"/>
  <c r="P27" i="67"/>
  <c r="K27" i="67"/>
  <c r="P26" i="67"/>
  <c r="K26" i="67"/>
  <c r="K29" i="67" s="1"/>
  <c r="T25" i="67"/>
  <c r="S25" i="67"/>
  <c r="S18" i="67" s="1"/>
  <c r="S6" i="67" s="1"/>
  <c r="S5" i="67" s="1"/>
  <c r="O25" i="67"/>
  <c r="N25" i="67"/>
  <c r="J25" i="67"/>
  <c r="J18" i="67" s="1"/>
  <c r="I25" i="67"/>
  <c r="P24" i="67"/>
  <c r="K24" i="67"/>
  <c r="P23" i="67"/>
  <c r="K23" i="67"/>
  <c r="P22" i="67"/>
  <c r="K22" i="67"/>
  <c r="P21" i="67"/>
  <c r="K21" i="67"/>
  <c r="T20" i="67"/>
  <c r="T18" i="67" s="1"/>
  <c r="S20" i="67"/>
  <c r="O20" i="67"/>
  <c r="N20" i="67"/>
  <c r="K20" i="67"/>
  <c r="J20" i="67"/>
  <c r="I20" i="67"/>
  <c r="I18" i="67" s="1"/>
  <c r="P19" i="67"/>
  <c r="P20" i="67" s="1"/>
  <c r="K19" i="67"/>
  <c r="T17" i="67"/>
  <c r="T7" i="67" s="1"/>
  <c r="T6" i="67" s="1"/>
  <c r="S17" i="67"/>
  <c r="O17" i="67"/>
  <c r="N17" i="67"/>
  <c r="J17" i="67"/>
  <c r="J7" i="67" s="1"/>
  <c r="I17" i="67"/>
  <c r="I7" i="67" s="1"/>
  <c r="I6" i="67" s="1"/>
  <c r="P16" i="67"/>
  <c r="K16" i="67"/>
  <c r="P15" i="67"/>
  <c r="K15" i="67"/>
  <c r="P14" i="67"/>
  <c r="K14" i="67"/>
  <c r="P13" i="67"/>
  <c r="K13" i="67"/>
  <c r="P12" i="67"/>
  <c r="K12" i="67"/>
  <c r="P11" i="67"/>
  <c r="K11" i="67"/>
  <c r="P10" i="67"/>
  <c r="K10" i="67"/>
  <c r="P9" i="67"/>
  <c r="K9" i="67"/>
  <c r="B9" i="67"/>
  <c r="B10" i="67" s="1"/>
  <c r="B11" i="67" s="1"/>
  <c r="B12" i="67" s="1"/>
  <c r="B13" i="67" s="1"/>
  <c r="B14" i="67" s="1"/>
  <c r="B15" i="67" s="1"/>
  <c r="B16" i="67" s="1"/>
  <c r="B19" i="67" s="1"/>
  <c r="B21" i="67" s="1"/>
  <c r="B22" i="67" s="1"/>
  <c r="B23" i="67" s="1"/>
  <c r="B24" i="67" s="1"/>
  <c r="B26" i="67" s="1"/>
  <c r="B27" i="67" s="1"/>
  <c r="B28" i="67" s="1"/>
  <c r="B32" i="67" s="1"/>
  <c r="B33" i="67" s="1"/>
  <c r="B34" i="67" s="1"/>
  <c r="B37" i="67" s="1"/>
  <c r="B38" i="67" s="1"/>
  <c r="B39" i="67" s="1"/>
  <c r="B41" i="67" s="1"/>
  <c r="B42" i="67" s="1"/>
  <c r="B46" i="67" s="1"/>
  <c r="B47" i="67" s="1"/>
  <c r="B48" i="67" s="1"/>
  <c r="B49" i="67" s="1"/>
  <c r="B50" i="67" s="1"/>
  <c r="B51" i="67" s="1"/>
  <c r="B53" i="67" s="1"/>
  <c r="B54" i="67" s="1"/>
  <c r="B55" i="67" s="1"/>
  <c r="B56" i="67" s="1"/>
  <c r="B57" i="67" s="1"/>
  <c r="B58" i="67" s="1"/>
  <c r="B60" i="67" s="1"/>
  <c r="B61" i="67" s="1"/>
  <c r="B62" i="67" s="1"/>
  <c r="B63" i="67" s="1"/>
  <c r="B64" i="67" s="1"/>
  <c r="B65" i="67" s="1"/>
  <c r="B66" i="67" s="1"/>
  <c r="B69" i="67" s="1"/>
  <c r="B70" i="67" s="1"/>
  <c r="B71" i="67" s="1"/>
  <c r="B72" i="67" s="1"/>
  <c r="B74" i="67" s="1"/>
  <c r="B75" i="67" s="1"/>
  <c r="B76" i="67" s="1"/>
  <c r="B77" i="67" s="1"/>
  <c r="B78" i="67" s="1"/>
  <c r="B80" i="67" s="1"/>
  <c r="B81" i="67" s="1"/>
  <c r="B82" i="67" s="1"/>
  <c r="B83" i="67" s="1"/>
  <c r="P8" i="67"/>
  <c r="K8" i="67"/>
  <c r="S7" i="67"/>
  <c r="R15" i="21"/>
  <c r="R75" i="21"/>
  <c r="S69" i="21"/>
  <c r="S72" i="21"/>
  <c r="S71" i="21"/>
  <c r="S70" i="21"/>
  <c r="O64" i="21"/>
  <c r="S66" i="21"/>
  <c r="S65" i="21"/>
  <c r="S67" i="21"/>
  <c r="S64" i="21"/>
  <c r="Y64" i="21"/>
  <c r="Y6" i="21"/>
  <c r="I56" i="64"/>
  <c r="O11" i="21"/>
  <c r="L24" i="64"/>
  <c r="I28" i="64"/>
  <c r="P45" i="56"/>
  <c r="P69" i="21"/>
  <c r="P68" i="21"/>
  <c r="J58" i="21" l="1"/>
  <c r="J47" i="21"/>
  <c r="J29" i="21"/>
  <c r="J51" i="21"/>
  <c r="J62" i="21"/>
  <c r="J19" i="21"/>
  <c r="J5" i="21"/>
  <c r="J18" i="21"/>
  <c r="J38" i="21"/>
  <c r="J87" i="21"/>
  <c r="J73" i="21"/>
  <c r="J54" i="21"/>
  <c r="J9" i="21"/>
  <c r="J15" i="21"/>
  <c r="J21" i="21"/>
  <c r="J44" i="21"/>
  <c r="S63" i="21"/>
  <c r="K128" i="67"/>
  <c r="K179" i="67"/>
  <c r="K163" i="67" s="1"/>
  <c r="Q127" i="67"/>
  <c r="K127" i="67"/>
  <c r="K119" i="67" s="1"/>
  <c r="Q118" i="67"/>
  <c r="K118" i="67"/>
  <c r="K107" i="67" s="1"/>
  <c r="P106" i="67"/>
  <c r="R127" i="67"/>
  <c r="K106" i="67"/>
  <c r="K96" i="67" s="1"/>
  <c r="K95" i="67" s="1"/>
  <c r="K100" i="67"/>
  <c r="P94" i="67"/>
  <c r="J85" i="67"/>
  <c r="J44" i="67" s="1"/>
  <c r="K94" i="67"/>
  <c r="K85" i="67" s="1"/>
  <c r="Q94" i="67"/>
  <c r="P84" i="67"/>
  <c r="P79" i="67"/>
  <c r="K79" i="67"/>
  <c r="K68" i="67" s="1"/>
  <c r="P73" i="67"/>
  <c r="Q84" i="67"/>
  <c r="P67" i="67"/>
  <c r="P59" i="67"/>
  <c r="P52" i="67"/>
  <c r="K52" i="67"/>
  <c r="P43" i="67"/>
  <c r="R43" i="67"/>
  <c r="K25" i="67"/>
  <c r="K18" i="67" s="1"/>
  <c r="P35" i="67"/>
  <c r="Q35" i="67"/>
  <c r="P29" i="67"/>
  <c r="P25" i="67"/>
  <c r="J6" i="67"/>
  <c r="K17" i="67"/>
  <c r="K7" i="67" s="1"/>
  <c r="R181" i="67"/>
  <c r="I30" i="67"/>
  <c r="T5" i="67"/>
  <c r="T180" i="67" s="1"/>
  <c r="B86" i="67"/>
  <c r="B88" i="67" s="1"/>
  <c r="B90" i="67" s="1"/>
  <c r="B91" i="67" s="1"/>
  <c r="B92" i="67" s="1"/>
  <c r="B93" i="67" s="1"/>
  <c r="B97" i="67" s="1"/>
  <c r="B98" i="67" s="1"/>
  <c r="B99" i="67" s="1"/>
  <c r="B101" i="67" s="1"/>
  <c r="B102" i="67" s="1"/>
  <c r="B103" i="67" s="1"/>
  <c r="B104" i="67" s="1"/>
  <c r="B105" i="67" s="1"/>
  <c r="B108" i="67" s="1"/>
  <c r="B109" i="67" s="1"/>
  <c r="B110" i="67" s="1"/>
  <c r="B111" i="67" s="1"/>
  <c r="B112" i="67" s="1"/>
  <c r="B113" i="67" s="1"/>
  <c r="B114" i="67" s="1"/>
  <c r="B115" i="67" s="1"/>
  <c r="B116" i="67" s="1"/>
  <c r="B117" i="67" s="1"/>
  <c r="B120" i="67" s="1"/>
  <c r="B121" i="67" s="1"/>
  <c r="B122" i="67" s="1"/>
  <c r="B123" i="67" s="1"/>
  <c r="B124" i="67" s="1"/>
  <c r="B125" i="67" s="1"/>
  <c r="B126" i="67" s="1"/>
  <c r="B87" i="67"/>
  <c r="AZ189" i="67"/>
  <c r="J95" i="67"/>
  <c r="AY190" i="67"/>
  <c r="AZ190" i="67" s="1"/>
  <c r="AY203" i="67"/>
  <c r="AZ203" i="67" s="1"/>
  <c r="K45" i="67"/>
  <c r="S180" i="67"/>
  <c r="I44" i="67"/>
  <c r="K30" i="67"/>
  <c r="T128" i="67"/>
  <c r="AY194" i="67"/>
  <c r="AZ194" i="67" s="1"/>
  <c r="P118" i="67"/>
  <c r="AX188" i="67"/>
  <c r="AQ203" i="67"/>
  <c r="R94" i="67"/>
  <c r="Q29" i="67"/>
  <c r="P127" i="67"/>
  <c r="AQ190" i="67"/>
  <c r="AQ194" i="67"/>
  <c r="AQ198" i="67"/>
  <c r="AQ202" i="67"/>
  <c r="AQ188" i="67" s="1"/>
  <c r="P17" i="67"/>
  <c r="R29" i="67"/>
  <c r="P89" i="67"/>
  <c r="AJ188" i="67"/>
  <c r="AY191" i="67"/>
  <c r="AZ191" i="67" s="1"/>
  <c r="AY195" i="67"/>
  <c r="AZ195" i="67" s="1"/>
  <c r="AY199" i="67"/>
  <c r="AZ199" i="67" s="1"/>
  <c r="Q17" i="67"/>
  <c r="Q43" i="67"/>
  <c r="P100" i="67"/>
  <c r="Q106" i="67"/>
  <c r="Q67" i="67"/>
  <c r="S68" i="21"/>
  <c r="M11" i="21"/>
  <c r="M12" i="21"/>
  <c r="M6" i="21"/>
  <c r="M7" i="21"/>
  <c r="M8" i="21"/>
  <c r="M10" i="21"/>
  <c r="M14" i="21"/>
  <c r="M15" i="21" s="1"/>
  <c r="M16" i="21"/>
  <c r="M17" i="21"/>
  <c r="P83" i="56"/>
  <c r="P66" i="56"/>
  <c r="Q45" i="56"/>
  <c r="O41" i="56"/>
  <c r="O25" i="56"/>
  <c r="O20" i="56"/>
  <c r="O17" i="56"/>
  <c r="N17" i="56"/>
  <c r="M17" i="56"/>
  <c r="J20" i="21" l="1"/>
  <c r="J89" i="21" s="1"/>
  <c r="M9" i="21"/>
  <c r="J5" i="67"/>
  <c r="I5" i="67"/>
  <c r="K6" i="67"/>
  <c r="AY188" i="67"/>
  <c r="AZ188" i="67"/>
  <c r="K44" i="67"/>
  <c r="M18" i="21"/>
  <c r="M20" i="21" s="1"/>
  <c r="M5" i="21"/>
  <c r="K5" i="67" l="1"/>
  <c r="K180" i="67" s="1"/>
  <c r="K182" i="67" s="1"/>
  <c r="N17" i="21"/>
  <c r="O9" i="21"/>
  <c r="P48" i="21"/>
  <c r="O47" i="21"/>
  <c r="P17" i="21"/>
  <c r="P16" i="21"/>
  <c r="G45" i="21"/>
  <c r="G47" i="21" s="1"/>
  <c r="N46" i="21"/>
  <c r="P46" i="21" s="1"/>
  <c r="P44" i="21"/>
  <c r="N41" i="21"/>
  <c r="N42" i="21"/>
  <c r="N43" i="21"/>
  <c r="N40" i="21"/>
  <c r="O67" i="21"/>
  <c r="P67" i="21" s="1"/>
  <c r="G67" i="21"/>
  <c r="O66" i="21"/>
  <c r="G66" i="21"/>
  <c r="G64" i="21"/>
  <c r="G65" i="21"/>
  <c r="R165" i="56"/>
  <c r="P166" i="56"/>
  <c r="P29" i="56"/>
  <c r="N25" i="56"/>
  <c r="M25" i="56"/>
  <c r="Q29" i="56"/>
  <c r="O102" i="56"/>
  <c r="Q126" i="56"/>
  <c r="P17" i="56"/>
  <c r="T128" i="40"/>
  <c r="S128" i="40"/>
  <c r="O179" i="40"/>
  <c r="P126" i="40"/>
  <c r="P125" i="40"/>
  <c r="P124" i="40"/>
  <c r="P123" i="40"/>
  <c r="P122" i="40"/>
  <c r="P121" i="40"/>
  <c r="P115" i="40"/>
  <c r="P114" i="40"/>
  <c r="P113" i="40"/>
  <c r="P112" i="40"/>
  <c r="P111" i="40"/>
  <c r="P110" i="40"/>
  <c r="P109" i="40"/>
  <c r="P103" i="40"/>
  <c r="P102" i="40"/>
  <c r="P91" i="40"/>
  <c r="P87" i="40"/>
  <c r="P81" i="40"/>
  <c r="P76" i="40"/>
  <c r="P75" i="40"/>
  <c r="P70" i="40"/>
  <c r="P27" i="40"/>
  <c r="P22" i="40"/>
  <c r="P15" i="40"/>
  <c r="P14" i="40"/>
  <c r="P13" i="40"/>
  <c r="P12" i="40"/>
  <c r="P11" i="40"/>
  <c r="P10" i="40"/>
  <c r="P9" i="40"/>
  <c r="N143" i="56"/>
  <c r="R121" i="60"/>
  <c r="Q121" i="60"/>
  <c r="I121" i="60"/>
  <c r="L121" i="60"/>
  <c r="M121" i="60"/>
  <c r="N112" i="60"/>
  <c r="R149" i="66"/>
  <c r="Q149" i="66"/>
  <c r="M149" i="66"/>
  <c r="L149" i="66"/>
  <c r="R121" i="66"/>
  <c r="Q121" i="66"/>
  <c r="N112" i="66"/>
  <c r="M121" i="66"/>
  <c r="L121" i="66"/>
  <c r="I25" i="66"/>
  <c r="R149" i="64"/>
  <c r="Q149" i="64"/>
  <c r="M149" i="64"/>
  <c r="L149" i="64"/>
  <c r="I149" i="64"/>
  <c r="I132" i="64" s="1"/>
  <c r="R121" i="64"/>
  <c r="Q121" i="64"/>
  <c r="N112" i="64"/>
  <c r="L121" i="64"/>
  <c r="I121" i="64"/>
  <c r="I24" i="64"/>
  <c r="M163" i="56"/>
  <c r="M149" i="60"/>
  <c r="R149" i="60"/>
  <c r="Q149" i="60"/>
  <c r="L149" i="60"/>
  <c r="I149" i="60"/>
  <c r="O124" i="56"/>
  <c r="O123" i="56"/>
  <c r="O122" i="56"/>
  <c r="O121" i="56"/>
  <c r="M143" i="56"/>
  <c r="S127" i="56"/>
  <c r="R127" i="56"/>
  <c r="S41" i="56"/>
  <c r="R41" i="56"/>
  <c r="O58" i="56"/>
  <c r="O43" i="56"/>
  <c r="O40" i="56"/>
  <c r="O39" i="56"/>
  <c r="O38" i="56"/>
  <c r="O37" i="56"/>
  <c r="O27" i="56"/>
  <c r="O22" i="56"/>
  <c r="O15" i="56"/>
  <c r="O14" i="56"/>
  <c r="O13" i="56"/>
  <c r="O12" i="56"/>
  <c r="O11" i="56"/>
  <c r="O10" i="56"/>
  <c r="O9" i="56"/>
  <c r="O8" i="56"/>
  <c r="M86" i="21"/>
  <c r="Y83" i="21"/>
  <c r="V83" i="21"/>
  <c r="S83" i="21"/>
  <c r="P83" i="21"/>
  <c r="M83" i="21"/>
  <c r="Y61" i="21"/>
  <c r="Y60" i="21"/>
  <c r="Y59" i="21"/>
  <c r="Y57" i="21"/>
  <c r="Y56" i="21"/>
  <c r="Y55" i="21"/>
  <c r="Y53" i="21"/>
  <c r="Y52" i="21"/>
  <c r="Y50" i="21"/>
  <c r="Y49" i="21"/>
  <c r="Y48" i="21"/>
  <c r="V61" i="21"/>
  <c r="V60" i="21"/>
  <c r="V59" i="21"/>
  <c r="V53" i="21"/>
  <c r="V52" i="21"/>
  <c r="V50" i="21"/>
  <c r="V49" i="21"/>
  <c r="V48" i="21"/>
  <c r="S61" i="21"/>
  <c r="S60" i="21"/>
  <c r="S59" i="21"/>
  <c r="S57" i="21"/>
  <c r="S56" i="21"/>
  <c r="S55" i="21"/>
  <c r="S53" i="21"/>
  <c r="S52" i="21"/>
  <c r="S50" i="21"/>
  <c r="S49" i="21"/>
  <c r="S48" i="21"/>
  <c r="P61" i="21"/>
  <c r="P60" i="21"/>
  <c r="P59" i="21"/>
  <c r="P57" i="21"/>
  <c r="P56" i="21"/>
  <c r="P55" i="21"/>
  <c r="P53" i="21"/>
  <c r="P52" i="21"/>
  <c r="P54" i="21" s="1"/>
  <c r="P50" i="21"/>
  <c r="P49" i="21"/>
  <c r="O15" i="21"/>
  <c r="L15" i="21"/>
  <c r="X18" i="21"/>
  <c r="U18" i="21"/>
  <c r="R18" i="21"/>
  <c r="R19" i="21" s="1"/>
  <c r="O18" i="21"/>
  <c r="G15" i="21"/>
  <c r="K15" i="21"/>
  <c r="N15" i="21"/>
  <c r="Q15" i="21"/>
  <c r="T15" i="21"/>
  <c r="W15" i="21"/>
  <c r="O5" i="21"/>
  <c r="S54" i="21" l="1"/>
  <c r="S51" i="21"/>
  <c r="S62" i="21"/>
  <c r="Y54" i="21"/>
  <c r="G63" i="21"/>
  <c r="N45" i="21"/>
  <c r="P45" i="21" s="1"/>
  <c r="P47" i="21" s="1"/>
  <c r="P66" i="21"/>
  <c r="O63" i="21"/>
  <c r="P18" i="21"/>
  <c r="P58" i="21"/>
  <c r="P51" i="21"/>
  <c r="Y51" i="21"/>
  <c r="P62" i="21"/>
  <c r="S58" i="21"/>
  <c r="Y58" i="21"/>
  <c r="Y62" i="21"/>
  <c r="N47" i="21" l="1"/>
  <c r="N14" i="60"/>
  <c r="N9" i="60"/>
  <c r="G19" i="21"/>
  <c r="L19" i="21"/>
  <c r="O19" i="21"/>
  <c r="U19" i="21"/>
  <c r="X19" i="21"/>
  <c r="X5" i="21"/>
  <c r="W5" i="21"/>
  <c r="U5" i="21"/>
  <c r="T5" i="21"/>
  <c r="R5" i="21"/>
  <c r="Q5" i="21"/>
  <c r="N5" i="21"/>
  <c r="L5" i="21"/>
  <c r="K5" i="21"/>
  <c r="G5" i="21" l="1"/>
  <c r="X9" i="21"/>
  <c r="W9" i="21"/>
  <c r="U9" i="21"/>
  <c r="T9" i="21"/>
  <c r="R9" i="21"/>
  <c r="Q9" i="21"/>
  <c r="N9" i="21"/>
  <c r="L9" i="21"/>
  <c r="K9" i="21"/>
  <c r="G9" i="21"/>
  <c r="Y66" i="21"/>
  <c r="Y65" i="21"/>
  <c r="Y8" i="21"/>
  <c r="Y7" i="21"/>
  <c r="V65" i="21"/>
  <c r="V46" i="21"/>
  <c r="V45" i="21"/>
  <c r="S46" i="21"/>
  <c r="S45" i="21"/>
  <c r="S47" i="21" s="1"/>
  <c r="M71" i="21"/>
  <c r="M70" i="21"/>
  <c r="M69" i="21"/>
  <c r="M66" i="21"/>
  <c r="M36" i="21"/>
  <c r="M34" i="21"/>
  <c r="Y72" i="21"/>
  <c r="Y71" i="21"/>
  <c r="Y70" i="21"/>
  <c r="Y69" i="21"/>
  <c r="Y68" i="21"/>
  <c r="Y81" i="21"/>
  <c r="Y80" i="21"/>
  <c r="Y78" i="21"/>
  <c r="Y77" i="21"/>
  <c r="Y76" i="21"/>
  <c r="Y84" i="21"/>
  <c r="Y86" i="21"/>
  <c r="V86" i="21"/>
  <c r="S86" i="21"/>
  <c r="P86" i="21"/>
  <c r="X75" i="21"/>
  <c r="G75" i="21"/>
  <c r="V81" i="21"/>
  <c r="S81" i="21"/>
  <c r="P81" i="21"/>
  <c r="M81" i="21"/>
  <c r="V80" i="21"/>
  <c r="S80" i="21"/>
  <c r="P80" i="21"/>
  <c r="M80" i="21"/>
  <c r="V78" i="21"/>
  <c r="S78" i="21"/>
  <c r="P78" i="21"/>
  <c r="M78" i="21"/>
  <c r="V77" i="21"/>
  <c r="S77" i="21"/>
  <c r="P77" i="21"/>
  <c r="M77" i="21"/>
  <c r="V76" i="21"/>
  <c r="S76" i="21"/>
  <c r="P76" i="21"/>
  <c r="M76" i="21"/>
  <c r="X63" i="21"/>
  <c r="W63" i="21"/>
  <c r="Y63" i="21" s="1"/>
  <c r="U63" i="21"/>
  <c r="T63" i="21"/>
  <c r="Q63" i="21"/>
  <c r="N63" i="21"/>
  <c r="P63" i="21" s="1"/>
  <c r="L63" i="21"/>
  <c r="K63" i="21"/>
  <c r="X62" i="21"/>
  <c r="W62" i="21"/>
  <c r="U62" i="21"/>
  <c r="T62" i="21"/>
  <c r="R62" i="21"/>
  <c r="Q62" i="21"/>
  <c r="O62" i="21"/>
  <c r="N62" i="21"/>
  <c r="L62" i="21"/>
  <c r="K62" i="21"/>
  <c r="G62" i="21"/>
  <c r="M61" i="21"/>
  <c r="M60" i="21"/>
  <c r="M59" i="21"/>
  <c r="X58" i="21"/>
  <c r="W58" i="21"/>
  <c r="T58" i="21"/>
  <c r="R58" i="21"/>
  <c r="Q58" i="21"/>
  <c r="O58" i="21"/>
  <c r="N58" i="21"/>
  <c r="L58" i="21"/>
  <c r="K58" i="21"/>
  <c r="G58" i="21"/>
  <c r="M57" i="21"/>
  <c r="M56" i="21"/>
  <c r="M55" i="21"/>
  <c r="X54" i="21"/>
  <c r="W54" i="21"/>
  <c r="U54" i="21"/>
  <c r="T54" i="21"/>
  <c r="R54" i="21"/>
  <c r="Q54" i="21"/>
  <c r="O54" i="21"/>
  <c r="N54" i="21"/>
  <c r="L54" i="21"/>
  <c r="K54" i="21"/>
  <c r="G54" i="21"/>
  <c r="M53" i="21"/>
  <c r="M52" i="21"/>
  <c r="M54" i="21" s="1"/>
  <c r="T47" i="21"/>
  <c r="X51" i="21"/>
  <c r="W51" i="21"/>
  <c r="U51" i="21"/>
  <c r="T51" i="21"/>
  <c r="R51" i="21"/>
  <c r="Q51" i="21"/>
  <c r="O51" i="21"/>
  <c r="N51" i="21"/>
  <c r="L51" i="21"/>
  <c r="K51" i="21"/>
  <c r="G51" i="21"/>
  <c r="M50" i="21"/>
  <c r="M49" i="21"/>
  <c r="M48" i="21"/>
  <c r="Y42" i="21"/>
  <c r="S42" i="21"/>
  <c r="M42" i="21"/>
  <c r="X47" i="21"/>
  <c r="W47" i="21"/>
  <c r="U47" i="21"/>
  <c r="R47" i="21"/>
  <c r="Q47" i="21"/>
  <c r="L47" i="21"/>
  <c r="K47" i="21"/>
  <c r="Y46" i="21"/>
  <c r="M46" i="21"/>
  <c r="Y45" i="21"/>
  <c r="M45" i="21"/>
  <c r="M47" i="21" s="1"/>
  <c r="Y37" i="21"/>
  <c r="Y34" i="21"/>
  <c r="S37" i="21"/>
  <c r="S36" i="21"/>
  <c r="V37" i="21"/>
  <c r="V36" i="21"/>
  <c r="V34" i="21"/>
  <c r="S34" i="21"/>
  <c r="P34" i="21"/>
  <c r="P36" i="21"/>
  <c r="P37" i="21"/>
  <c r="M37" i="21"/>
  <c r="Y27" i="21"/>
  <c r="Y28" i="21"/>
  <c r="V27" i="21"/>
  <c r="V28" i="21"/>
  <c r="S27" i="21"/>
  <c r="S28" i="21"/>
  <c r="P28" i="21"/>
  <c r="P27" i="21"/>
  <c r="M28" i="21"/>
  <c r="M27" i="21"/>
  <c r="Y25" i="21"/>
  <c r="V25" i="21"/>
  <c r="S25" i="21"/>
  <c r="P25" i="21"/>
  <c r="M25" i="21"/>
  <c r="X26" i="21"/>
  <c r="U26" i="21"/>
  <c r="R26" i="21"/>
  <c r="L26" i="21"/>
  <c r="W26" i="21"/>
  <c r="T26" i="21"/>
  <c r="V26" i="21" s="1"/>
  <c r="Q26" i="21"/>
  <c r="P26" i="21"/>
  <c r="K26" i="21"/>
  <c r="M26" i="21" s="1"/>
  <c r="G26" i="21"/>
  <c r="Y24" i="21"/>
  <c r="V24" i="21"/>
  <c r="S24" i="21"/>
  <c r="P24" i="21"/>
  <c r="M24" i="21"/>
  <c r="Y23" i="21"/>
  <c r="V23" i="21"/>
  <c r="S23" i="21"/>
  <c r="P23" i="21"/>
  <c r="M23" i="21"/>
  <c r="V84" i="21"/>
  <c r="S84" i="21"/>
  <c r="P84" i="21"/>
  <c r="M84" i="21"/>
  <c r="Y85" i="21"/>
  <c r="V85" i="21"/>
  <c r="S85" i="21"/>
  <c r="P85" i="21"/>
  <c r="M85" i="21"/>
  <c r="M72" i="21"/>
  <c r="M65" i="21"/>
  <c r="Y33" i="21"/>
  <c r="V33" i="21"/>
  <c r="S33" i="21"/>
  <c r="P33" i="21"/>
  <c r="M33" i="21"/>
  <c r="W18" i="21"/>
  <c r="T18" i="21"/>
  <c r="T19" i="21" s="1"/>
  <c r="Q18" i="21"/>
  <c r="N18" i="21"/>
  <c r="K18" i="21"/>
  <c r="Y17" i="21"/>
  <c r="V17" i="21"/>
  <c r="S17" i="21"/>
  <c r="Y16" i="21"/>
  <c r="V16" i="21"/>
  <c r="S16" i="21"/>
  <c r="V8" i="21"/>
  <c r="S8" i="21"/>
  <c r="S7" i="21"/>
  <c r="S6" i="21"/>
  <c r="P8" i="21"/>
  <c r="P7" i="21"/>
  <c r="P6" i="21"/>
  <c r="R169" i="66"/>
  <c r="R150" i="66" s="1"/>
  <c r="Q169" i="66"/>
  <c r="Q150" i="66" s="1"/>
  <c r="L169" i="66"/>
  <c r="I169" i="66"/>
  <c r="I150" i="66" s="1"/>
  <c r="Q132" i="66"/>
  <c r="Q131" i="66" s="1"/>
  <c r="R132" i="66"/>
  <c r="R130" i="66"/>
  <c r="R122" i="66" s="1"/>
  <c r="Q130" i="66"/>
  <c r="Q122" i="66" s="1"/>
  <c r="M130" i="66"/>
  <c r="L130" i="66"/>
  <c r="I130" i="66"/>
  <c r="N129" i="66"/>
  <c r="N128" i="66"/>
  <c r="N127" i="66"/>
  <c r="N126" i="66"/>
  <c r="N125" i="66"/>
  <c r="N124" i="66"/>
  <c r="N123" i="66"/>
  <c r="O130" i="66" s="1"/>
  <c r="I122" i="66"/>
  <c r="N120" i="66"/>
  <c r="N119" i="66"/>
  <c r="N118" i="66"/>
  <c r="N117" i="66"/>
  <c r="N116" i="66"/>
  <c r="N115" i="66"/>
  <c r="N114" i="66"/>
  <c r="N113" i="66"/>
  <c r="R111" i="66"/>
  <c r="Q111" i="66"/>
  <c r="R110" i="66"/>
  <c r="Q110" i="66"/>
  <c r="M110" i="66"/>
  <c r="L110" i="66"/>
  <c r="I110" i="66"/>
  <c r="N109" i="66"/>
  <c r="N108" i="66"/>
  <c r="N107" i="66"/>
  <c r="N106" i="66"/>
  <c r="N105" i="66"/>
  <c r="R104" i="66"/>
  <c r="Q104" i="66"/>
  <c r="Q100" i="66" s="1"/>
  <c r="M104" i="66"/>
  <c r="L104" i="66"/>
  <c r="I104" i="66"/>
  <c r="I100" i="66" s="1"/>
  <c r="I99" i="66" s="1"/>
  <c r="N103" i="66"/>
  <c r="N102" i="66"/>
  <c r="N101" i="66"/>
  <c r="P130" i="66" s="1"/>
  <c r="R100" i="66"/>
  <c r="R98" i="66"/>
  <c r="Q98" i="66"/>
  <c r="M98" i="66"/>
  <c r="L98" i="66"/>
  <c r="I98" i="66"/>
  <c r="N97" i="66"/>
  <c r="N96" i="66"/>
  <c r="N95" i="66"/>
  <c r="N94" i="66"/>
  <c r="N98" i="66" s="1"/>
  <c r="R93" i="66"/>
  <c r="R89" i="66" s="1"/>
  <c r="Q93" i="66"/>
  <c r="Q89" i="66" s="1"/>
  <c r="M93" i="66"/>
  <c r="L93" i="66"/>
  <c r="I93" i="66"/>
  <c r="I89" i="66" s="1"/>
  <c r="N92" i="66"/>
  <c r="N91" i="66"/>
  <c r="N90" i="66"/>
  <c r="O98" i="66" s="1"/>
  <c r="R88" i="66"/>
  <c r="Q88" i="66"/>
  <c r="O88" i="66" a="1"/>
  <c r="O88" i="66" s="1"/>
  <c r="M88" i="66"/>
  <c r="L88" i="66"/>
  <c r="I88" i="66"/>
  <c r="N87" i="66"/>
  <c r="N86" i="66"/>
  <c r="N85" i="66"/>
  <c r="N84" i="66"/>
  <c r="R83" i="66"/>
  <c r="Q83" i="66"/>
  <c r="M83" i="66"/>
  <c r="L83" i="66"/>
  <c r="I83" i="66"/>
  <c r="N82" i="66"/>
  <c r="N81" i="66"/>
  <c r="N80" i="66"/>
  <c r="N79" i="66"/>
  <c r="N78" i="66"/>
  <c r="R77" i="66"/>
  <c r="R72" i="66" s="1"/>
  <c r="Q77" i="66"/>
  <c r="Q72" i="66" s="1"/>
  <c r="M77" i="66"/>
  <c r="L77" i="66"/>
  <c r="I77" i="66"/>
  <c r="N76" i="66"/>
  <c r="N75" i="66"/>
  <c r="N74" i="66"/>
  <c r="N73" i="66"/>
  <c r="I72" i="66"/>
  <c r="R71" i="66"/>
  <c r="Q71" i="66"/>
  <c r="M71" i="66"/>
  <c r="L71" i="66"/>
  <c r="I71" i="66"/>
  <c r="N70" i="66"/>
  <c r="N69" i="66"/>
  <c r="N68" i="66"/>
  <c r="N67" i="66"/>
  <c r="N66" i="66"/>
  <c r="N65" i="66"/>
  <c r="N64" i="66"/>
  <c r="N71" i="66" s="1"/>
  <c r="R63" i="66"/>
  <c r="Q63" i="66"/>
  <c r="M63" i="66"/>
  <c r="L63" i="66"/>
  <c r="I63" i="66"/>
  <c r="N62" i="66"/>
  <c r="N61" i="66"/>
  <c r="N60" i="66"/>
  <c r="N59" i="66"/>
  <c r="N58" i="66"/>
  <c r="N57" i="66"/>
  <c r="R56" i="66"/>
  <c r="Q56" i="66"/>
  <c r="Q49" i="66" s="1"/>
  <c r="M56" i="66"/>
  <c r="L56" i="66"/>
  <c r="I56" i="66"/>
  <c r="N55" i="66"/>
  <c r="N54" i="66"/>
  <c r="N53" i="66"/>
  <c r="N52" i="66"/>
  <c r="N51" i="66"/>
  <c r="N50" i="66"/>
  <c r="R49" i="66"/>
  <c r="R47" i="66"/>
  <c r="Q47" i="66"/>
  <c r="M47" i="66"/>
  <c r="L47" i="66"/>
  <c r="I47" i="66"/>
  <c r="N46" i="66"/>
  <c r="N45" i="66"/>
  <c r="N44" i="66"/>
  <c r="N47" i="66" s="1"/>
  <c r="R43" i="66"/>
  <c r="Q43" i="66"/>
  <c r="M43" i="66"/>
  <c r="L43" i="66"/>
  <c r="I43" i="66"/>
  <c r="N42" i="66"/>
  <c r="N41" i="66"/>
  <c r="N43" i="66" s="1"/>
  <c r="R40" i="66"/>
  <c r="R36" i="66" s="1"/>
  <c r="Q40" i="66"/>
  <c r="Q36" i="66" s="1"/>
  <c r="M40" i="66"/>
  <c r="L40" i="66"/>
  <c r="I40" i="66"/>
  <c r="I36" i="66" s="1"/>
  <c r="N39" i="66"/>
  <c r="N38" i="66"/>
  <c r="N37" i="66"/>
  <c r="O47" i="66" s="1"/>
  <c r="R35" i="66"/>
  <c r="R31" i="66" s="1"/>
  <c r="R30" i="66" s="1"/>
  <c r="Q35" i="66"/>
  <c r="Q31" i="66" s="1"/>
  <c r="M35" i="66"/>
  <c r="I35" i="66"/>
  <c r="I31" i="66" s="1"/>
  <c r="I30" i="66" s="1"/>
  <c r="N34" i="66"/>
  <c r="N33" i="66"/>
  <c r="N32" i="66"/>
  <c r="P47" i="66" s="1"/>
  <c r="R29" i="66"/>
  <c r="Q29" i="66"/>
  <c r="M29" i="66"/>
  <c r="L29" i="66"/>
  <c r="N28" i="66"/>
  <c r="N27" i="66"/>
  <c r="N26" i="66"/>
  <c r="N29" i="66" s="1"/>
  <c r="R25" i="66"/>
  <c r="Q25" i="66"/>
  <c r="M25" i="66"/>
  <c r="L25" i="66"/>
  <c r="N24" i="66"/>
  <c r="N23" i="66"/>
  <c r="N22" i="66"/>
  <c r="N21" i="66"/>
  <c r="R20" i="66"/>
  <c r="R18" i="66" s="1"/>
  <c r="Q20" i="66"/>
  <c r="M20" i="66"/>
  <c r="L20" i="66"/>
  <c r="N19" i="66"/>
  <c r="R17" i="66"/>
  <c r="R7" i="66" s="1"/>
  <c r="R6" i="66" s="1"/>
  <c r="Q17" i="66"/>
  <c r="Q7" i="66" s="1"/>
  <c r="M17" i="66"/>
  <c r="L17" i="66"/>
  <c r="I17" i="66"/>
  <c r="I7" i="66" s="1"/>
  <c r="N16" i="66"/>
  <c r="N15" i="66"/>
  <c r="N14" i="66"/>
  <c r="N13" i="66"/>
  <c r="N12" i="66"/>
  <c r="N11" i="66"/>
  <c r="N10" i="66"/>
  <c r="N9" i="66"/>
  <c r="N8" i="66"/>
  <c r="B8" i="64"/>
  <c r="B9" i="64" s="1"/>
  <c r="B10" i="64" s="1"/>
  <c r="B11" i="64" s="1"/>
  <c r="B12" i="64" s="1"/>
  <c r="B13" i="64" s="1"/>
  <c r="B14" i="64" s="1"/>
  <c r="B15" i="64" s="1"/>
  <c r="B18" i="64" s="1"/>
  <c r="B20" i="64" s="1"/>
  <c r="B21" i="64" s="1"/>
  <c r="B22" i="64" s="1"/>
  <c r="B23" i="64" s="1"/>
  <c r="R165" i="64"/>
  <c r="Q165" i="64"/>
  <c r="L165" i="64"/>
  <c r="I165" i="64"/>
  <c r="I150" i="64" s="1"/>
  <c r="R150" i="64"/>
  <c r="Q150" i="64"/>
  <c r="I131" i="64"/>
  <c r="R132" i="64"/>
  <c r="R131" i="64" s="1"/>
  <c r="Q132" i="64"/>
  <c r="Q131" i="64" s="1"/>
  <c r="R130" i="64"/>
  <c r="R122" i="64" s="1"/>
  <c r="Q130" i="64"/>
  <c r="Q122" i="64" s="1"/>
  <c r="M130" i="64"/>
  <c r="L130" i="64"/>
  <c r="I130" i="64"/>
  <c r="N129" i="64"/>
  <c r="N128" i="64"/>
  <c r="N127" i="64"/>
  <c r="N126" i="64"/>
  <c r="N125" i="64"/>
  <c r="N124" i="64"/>
  <c r="N123" i="64"/>
  <c r="I122" i="64"/>
  <c r="Q111" i="64"/>
  <c r="M121" i="64"/>
  <c r="I111" i="64"/>
  <c r="N120" i="64"/>
  <c r="N119" i="64"/>
  <c r="N118" i="64"/>
  <c r="N117" i="64"/>
  <c r="N116" i="64"/>
  <c r="N115" i="64"/>
  <c r="N114" i="64"/>
  <c r="N113" i="64"/>
  <c r="R111" i="64"/>
  <c r="R110" i="64"/>
  <c r="Q110" i="64"/>
  <c r="M110" i="64"/>
  <c r="L110" i="64"/>
  <c r="I110" i="64"/>
  <c r="N109" i="64"/>
  <c r="N108" i="64"/>
  <c r="N107" i="64"/>
  <c r="N106" i="64"/>
  <c r="N105" i="64"/>
  <c r="R104" i="64"/>
  <c r="R100" i="64" s="1"/>
  <c r="Q104" i="64"/>
  <c r="Q100" i="64" s="1"/>
  <c r="Q99" i="64" s="1"/>
  <c r="M104" i="64"/>
  <c r="L104" i="64"/>
  <c r="I104" i="64"/>
  <c r="I100" i="64" s="1"/>
  <c r="N103" i="64"/>
  <c r="N102" i="64"/>
  <c r="N101" i="64"/>
  <c r="R98" i="64"/>
  <c r="Q98" i="64"/>
  <c r="M98" i="64"/>
  <c r="L98" i="64"/>
  <c r="I98" i="64"/>
  <c r="N97" i="64"/>
  <c r="N96" i="64"/>
  <c r="N95" i="64"/>
  <c r="N94" i="64"/>
  <c r="R93" i="64"/>
  <c r="R89" i="64" s="1"/>
  <c r="Q93" i="64"/>
  <c r="Q89" i="64" s="1"/>
  <c r="M93" i="64"/>
  <c r="L93" i="64"/>
  <c r="I93" i="64"/>
  <c r="N92" i="64"/>
  <c r="N91" i="64"/>
  <c r="N90" i="64"/>
  <c r="N93" i="64" s="1"/>
  <c r="R88" i="64"/>
  <c r="Q88" i="64"/>
  <c r="O88" i="64" a="1"/>
  <c r="O88" i="64" s="1"/>
  <c r="M88" i="64"/>
  <c r="L88" i="64"/>
  <c r="I88" i="64"/>
  <c r="N87" i="64"/>
  <c r="N86" i="64"/>
  <c r="N85" i="64"/>
  <c r="N84" i="64"/>
  <c r="R83" i="64"/>
  <c r="Q83" i="64"/>
  <c r="M83" i="64"/>
  <c r="L83" i="64"/>
  <c r="I83" i="64"/>
  <c r="N82" i="64"/>
  <c r="N81" i="64"/>
  <c r="N80" i="64"/>
  <c r="N79" i="64"/>
  <c r="N78" i="64"/>
  <c r="R77" i="64"/>
  <c r="R72" i="64" s="1"/>
  <c r="Q77" i="64"/>
  <c r="Q72" i="64" s="1"/>
  <c r="M77" i="64"/>
  <c r="L77" i="64"/>
  <c r="I77" i="64"/>
  <c r="N76" i="64"/>
  <c r="N75" i="64"/>
  <c r="N74" i="64"/>
  <c r="N73" i="64"/>
  <c r="R71" i="64"/>
  <c r="Q71" i="64"/>
  <c r="M71" i="64"/>
  <c r="L71" i="64"/>
  <c r="I71" i="64"/>
  <c r="N70" i="64"/>
  <c r="N69" i="64"/>
  <c r="N68" i="64"/>
  <c r="N67" i="64"/>
  <c r="N66" i="64"/>
  <c r="N65" i="64"/>
  <c r="N64" i="64"/>
  <c r="R63" i="64"/>
  <c r="Q63" i="64"/>
  <c r="M63" i="64"/>
  <c r="L63" i="64"/>
  <c r="I63" i="64"/>
  <c r="N62" i="64"/>
  <c r="N61" i="64"/>
  <c r="N60" i="64"/>
  <c r="N59" i="64"/>
  <c r="N58" i="64"/>
  <c r="N57" i="64"/>
  <c r="M56" i="64"/>
  <c r="L56" i="64"/>
  <c r="N55" i="64"/>
  <c r="N54" i="64"/>
  <c r="N53" i="64"/>
  <c r="N52" i="64"/>
  <c r="N51" i="64"/>
  <c r="N49" i="64"/>
  <c r="R46" i="64"/>
  <c r="Q46" i="64"/>
  <c r="M46" i="64"/>
  <c r="L46" i="64"/>
  <c r="I46" i="64"/>
  <c r="N45" i="64"/>
  <c r="N44" i="64"/>
  <c r="N43" i="64"/>
  <c r="R42" i="64"/>
  <c r="Q42" i="64"/>
  <c r="M42" i="64"/>
  <c r="L42" i="64"/>
  <c r="I42" i="64"/>
  <c r="N41" i="64"/>
  <c r="N40" i="64"/>
  <c r="R39" i="64"/>
  <c r="Q39" i="64"/>
  <c r="M39" i="64"/>
  <c r="L39" i="64"/>
  <c r="I39" i="64"/>
  <c r="N38" i="64"/>
  <c r="N37" i="64"/>
  <c r="N36" i="64"/>
  <c r="R35" i="64"/>
  <c r="Q35" i="64"/>
  <c r="R34" i="64"/>
  <c r="R30" i="64" s="1"/>
  <c r="R29" i="64" s="1"/>
  <c r="Q34" i="64"/>
  <c r="Q30" i="64" s="1"/>
  <c r="Q29" i="64" s="1"/>
  <c r="M34" i="64"/>
  <c r="L34" i="64"/>
  <c r="I34" i="64"/>
  <c r="I30" i="64" s="1"/>
  <c r="N33" i="64"/>
  <c r="N32" i="64"/>
  <c r="N31" i="64"/>
  <c r="R28" i="64"/>
  <c r="Q28" i="64"/>
  <c r="M28" i="64"/>
  <c r="L28" i="64"/>
  <c r="N27" i="64"/>
  <c r="N26" i="64"/>
  <c r="B36" i="64"/>
  <c r="B37" i="64" s="1"/>
  <c r="B38" i="64" s="1"/>
  <c r="B44" i="64" s="1"/>
  <c r="B45" i="64" s="1"/>
  <c r="B55" i="64" s="1"/>
  <c r="B57" i="64" s="1"/>
  <c r="N25" i="64"/>
  <c r="R24" i="64"/>
  <c r="Q24" i="64"/>
  <c r="M24" i="64"/>
  <c r="N23" i="64"/>
  <c r="N22" i="64"/>
  <c r="N21" i="64"/>
  <c r="N20" i="64"/>
  <c r="R19" i="64"/>
  <c r="R17" i="64" s="1"/>
  <c r="Q19" i="64"/>
  <c r="M19" i="64"/>
  <c r="L19" i="64"/>
  <c r="I19" i="64"/>
  <c r="N18" i="64"/>
  <c r="R16" i="64"/>
  <c r="R50" i="64" s="1"/>
  <c r="Q16" i="64"/>
  <c r="Q50" i="64" s="1"/>
  <c r="Q56" i="64" s="1"/>
  <c r="Q48" i="64" s="1"/>
  <c r="Q47" i="64" s="1"/>
  <c r="M16" i="64"/>
  <c r="L16" i="64"/>
  <c r="I16" i="64"/>
  <c r="I50" i="64" s="1"/>
  <c r="N15" i="64"/>
  <c r="N14" i="64"/>
  <c r="N13" i="64"/>
  <c r="N12" i="64"/>
  <c r="N11" i="64"/>
  <c r="N10" i="64"/>
  <c r="N9" i="64"/>
  <c r="N8" i="64"/>
  <c r="N7" i="64"/>
  <c r="N98" i="64" l="1"/>
  <c r="N42" i="64"/>
  <c r="N39" i="64"/>
  <c r="N28" i="64"/>
  <c r="I6" i="66"/>
  <c r="Q18" i="66"/>
  <c r="Q6" i="66" s="1"/>
  <c r="O71" i="66"/>
  <c r="N56" i="66"/>
  <c r="N63" i="66"/>
  <c r="N77" i="66"/>
  <c r="N83" i="66"/>
  <c r="N88" i="66"/>
  <c r="I11" i="27"/>
  <c r="N110" i="66"/>
  <c r="N121" i="66"/>
  <c r="O121" i="66"/>
  <c r="I9" i="27"/>
  <c r="N25" i="66"/>
  <c r="O29" i="66"/>
  <c r="N20" i="66"/>
  <c r="O17" i="66"/>
  <c r="P29" i="66"/>
  <c r="P172" i="66"/>
  <c r="I12" i="27" s="1"/>
  <c r="I49" i="66"/>
  <c r="S32" i="21"/>
  <c r="Y47" i="21"/>
  <c r="S18" i="21"/>
  <c r="S35" i="21"/>
  <c r="M58" i="21"/>
  <c r="P73" i="21"/>
  <c r="R6" i="64"/>
  <c r="R56" i="64"/>
  <c r="R48" i="64" s="1"/>
  <c r="R47" i="64" s="1"/>
  <c r="Q17" i="64"/>
  <c r="Q6" i="64" s="1"/>
  <c r="B60" i="64"/>
  <c r="B66" i="64" s="1"/>
  <c r="B67" i="64" s="1"/>
  <c r="B68" i="64" s="1"/>
  <c r="B79" i="64" s="1"/>
  <c r="B80" i="64" s="1"/>
  <c r="B81" i="64" s="1"/>
  <c r="B82" i="64" s="1"/>
  <c r="N121" i="64"/>
  <c r="O121" i="64"/>
  <c r="O110" i="64"/>
  <c r="N19" i="64"/>
  <c r="O28" i="64"/>
  <c r="O16" i="64"/>
  <c r="P168" i="64"/>
  <c r="I48" i="64"/>
  <c r="V18" i="21"/>
  <c r="M51" i="21"/>
  <c r="P29" i="21"/>
  <c r="S29" i="21"/>
  <c r="M29" i="21"/>
  <c r="Y18" i="21"/>
  <c r="V29" i="21"/>
  <c r="M62" i="21"/>
  <c r="Y29" i="21"/>
  <c r="V5" i="21"/>
  <c r="P5" i="21"/>
  <c r="S5" i="21"/>
  <c r="Y5" i="21"/>
  <c r="S26" i="21"/>
  <c r="Y26" i="21"/>
  <c r="Q30" i="66"/>
  <c r="R48" i="66"/>
  <c r="Q48" i="66"/>
  <c r="I48" i="66"/>
  <c r="Q99" i="66"/>
  <c r="R131" i="66"/>
  <c r="R99" i="66"/>
  <c r="R5" i="66" s="1"/>
  <c r="R171" i="66" s="1"/>
  <c r="I131" i="66"/>
  <c r="N35" i="66"/>
  <c r="O35" i="66"/>
  <c r="N40" i="66"/>
  <c r="N93" i="66"/>
  <c r="N130" i="66"/>
  <c r="P98" i="66"/>
  <c r="N17" i="66"/>
  <c r="N104" i="66"/>
  <c r="O110" i="66"/>
  <c r="O130" i="64"/>
  <c r="N110" i="64"/>
  <c r="O98" i="64"/>
  <c r="N88" i="64"/>
  <c r="N83" i="64"/>
  <c r="N77" i="64"/>
  <c r="N71" i="64"/>
  <c r="N63" i="64"/>
  <c r="N56" i="64"/>
  <c r="O71" i="64"/>
  <c r="N46" i="64"/>
  <c r="N34" i="64"/>
  <c r="O34" i="64"/>
  <c r="N24" i="64"/>
  <c r="N16" i="64"/>
  <c r="I99" i="64"/>
  <c r="I89" i="64"/>
  <c r="I72" i="64"/>
  <c r="I35" i="64"/>
  <c r="I29" i="64" s="1"/>
  <c r="I17" i="64"/>
  <c r="I6" i="64" s="1"/>
  <c r="R99" i="64"/>
  <c r="R5" i="64" s="1"/>
  <c r="R167" i="64" s="1"/>
  <c r="Q5" i="64"/>
  <c r="Q167" i="64" s="1"/>
  <c r="N104" i="64"/>
  <c r="O46" i="64"/>
  <c r="I5" i="66" l="1"/>
  <c r="I171" i="66" s="1"/>
  <c r="I10" i="27"/>
  <c r="I8" i="27"/>
  <c r="Q5" i="66"/>
  <c r="Q171" i="66" s="1"/>
  <c r="B84" i="64"/>
  <c r="B85" i="64" s="1"/>
  <c r="B86" i="64" s="1"/>
  <c r="B87" i="64" s="1"/>
  <c r="B90" i="64" s="1"/>
  <c r="B91" i="64" s="1"/>
  <c r="B96" i="64" s="1"/>
  <c r="B97" i="64" s="1"/>
  <c r="B101" i="64" s="1"/>
  <c r="B102" i="64" s="1"/>
  <c r="B103" i="64" s="1"/>
  <c r="B105" i="64" s="1"/>
  <c r="B106" i="64" s="1"/>
  <c r="B107" i="64" s="1"/>
  <c r="B108" i="64" s="1"/>
  <c r="B109" i="64" s="1"/>
  <c r="B114" i="64" s="1"/>
  <c r="B115" i="64" s="1"/>
  <c r="B116" i="64" s="1"/>
  <c r="B117" i="64" s="1"/>
  <c r="B118" i="64" s="1"/>
  <c r="B125" i="64" s="1"/>
  <c r="B126" i="64" s="1"/>
  <c r="B8" i="66" s="1"/>
  <c r="I47" i="64"/>
  <c r="I5" i="64"/>
  <c r="I167" i="64" s="1"/>
  <c r="R17" i="60" l="1"/>
  <c r="Q17" i="60"/>
  <c r="O88" i="60" a="1"/>
  <c r="O88" i="60" s="1"/>
  <c r="I132" i="60"/>
  <c r="N124" i="60"/>
  <c r="N125" i="60"/>
  <c r="N126" i="60"/>
  <c r="N127" i="60"/>
  <c r="N128" i="60"/>
  <c r="N129" i="60"/>
  <c r="N119" i="60"/>
  <c r="N118" i="60"/>
  <c r="N117" i="60"/>
  <c r="N116" i="60"/>
  <c r="N115" i="60"/>
  <c r="N114" i="60"/>
  <c r="N113" i="60"/>
  <c r="B125" i="60"/>
  <c r="B126" i="60" s="1"/>
  <c r="B127" i="60" s="1"/>
  <c r="B128" i="60" s="1"/>
  <c r="B129" i="60" s="1"/>
  <c r="B120" i="60"/>
  <c r="N106" i="60"/>
  <c r="N107" i="60"/>
  <c r="N108" i="60"/>
  <c r="N109" i="60"/>
  <c r="N95" i="60"/>
  <c r="N96" i="60"/>
  <c r="N97" i="60"/>
  <c r="N10" i="60"/>
  <c r="N11" i="60"/>
  <c r="N12" i="60"/>
  <c r="N13" i="60"/>
  <c r="N15" i="60"/>
  <c r="N16" i="60"/>
  <c r="N22" i="60"/>
  <c r="N23" i="60"/>
  <c r="N24" i="60"/>
  <c r="N27" i="60"/>
  <c r="N28" i="60"/>
  <c r="N51" i="60"/>
  <c r="N52" i="60"/>
  <c r="N53" i="60"/>
  <c r="N54" i="60"/>
  <c r="N55" i="60"/>
  <c r="N65" i="60"/>
  <c r="N66" i="60"/>
  <c r="N67" i="60"/>
  <c r="N68" i="60"/>
  <c r="N69" i="60"/>
  <c r="N70" i="60"/>
  <c r="N74" i="60"/>
  <c r="N75" i="60"/>
  <c r="N76" i="60"/>
  <c r="N79" i="60"/>
  <c r="N80" i="60"/>
  <c r="N81" i="60"/>
  <c r="N82" i="60"/>
  <c r="N85" i="60"/>
  <c r="N86" i="60"/>
  <c r="N87" i="60"/>
  <c r="N91" i="60"/>
  <c r="N92" i="60"/>
  <c r="B75" i="60"/>
  <c r="B76" i="60" s="1"/>
  <c r="B55" i="60"/>
  <c r="B57" i="60" s="1"/>
  <c r="I25" i="60"/>
  <c r="R25" i="60"/>
  <c r="Q25" i="60"/>
  <c r="M25" i="60"/>
  <c r="L25" i="60"/>
  <c r="N21" i="60"/>
  <c r="N50" i="60"/>
  <c r="R47" i="60"/>
  <c r="Q47" i="60"/>
  <c r="M47" i="60"/>
  <c r="L47" i="60"/>
  <c r="I47" i="60"/>
  <c r="N46" i="60"/>
  <c r="N45" i="60"/>
  <c r="B45" i="60"/>
  <c r="B46" i="60" s="1"/>
  <c r="B50" i="60" s="1"/>
  <c r="B51" i="60" s="1"/>
  <c r="N44" i="60"/>
  <c r="B11" i="60"/>
  <c r="B12" i="60" s="1"/>
  <c r="B13" i="60" s="1"/>
  <c r="B16" i="60" s="1"/>
  <c r="I17" i="60"/>
  <c r="I7" i="60" s="1"/>
  <c r="I20" i="60"/>
  <c r="I29" i="60"/>
  <c r="I35" i="60"/>
  <c r="I31" i="60" s="1"/>
  <c r="I40" i="60"/>
  <c r="I43" i="60"/>
  <c r="I56" i="60"/>
  <c r="I63" i="60"/>
  <c r="I71" i="60"/>
  <c r="I77" i="60"/>
  <c r="I83" i="60"/>
  <c r="I88" i="60"/>
  <c r="I93" i="60"/>
  <c r="I98" i="60"/>
  <c r="I104" i="60"/>
  <c r="I110" i="60"/>
  <c r="I111" i="60"/>
  <c r="I130" i="60"/>
  <c r="I122" i="60" s="1"/>
  <c r="I169" i="60"/>
  <c r="I150" i="60" s="1"/>
  <c r="B8" i="60"/>
  <c r="I131" i="60" l="1"/>
  <c r="I18" i="60"/>
  <c r="I6" i="60" s="1"/>
  <c r="N25" i="60"/>
  <c r="N47" i="60"/>
  <c r="I100" i="60"/>
  <c r="I99" i="60" s="1"/>
  <c r="I89" i="60"/>
  <c r="I49" i="60"/>
  <c r="I36" i="60"/>
  <c r="I30" i="60" s="1"/>
  <c r="I72" i="60"/>
  <c r="I48" i="60" l="1"/>
  <c r="I5" i="60" s="1"/>
  <c r="I171" i="60" s="1"/>
  <c r="J130" i="56" l="1"/>
  <c r="J131" i="56"/>
  <c r="O108" i="56"/>
  <c r="O109" i="56"/>
  <c r="O110" i="56"/>
  <c r="O111" i="56"/>
  <c r="O112" i="56"/>
  <c r="O113" i="56"/>
  <c r="O114" i="56"/>
  <c r="O115" i="56"/>
  <c r="O116" i="56"/>
  <c r="O63" i="56"/>
  <c r="O74" i="56"/>
  <c r="O75" i="56"/>
  <c r="O80" i="56"/>
  <c r="O81" i="56"/>
  <c r="O90" i="56"/>
  <c r="B8" i="56"/>
  <c r="B122" i="40"/>
  <c r="B123" i="40"/>
  <c r="B124" i="40"/>
  <c r="B125" i="40" s="1"/>
  <c r="B126" i="40" s="1"/>
  <c r="B121" i="40"/>
  <c r="B120" i="40"/>
  <c r="B110" i="40"/>
  <c r="B111" i="40" s="1"/>
  <c r="B112" i="40" s="1"/>
  <c r="B113" i="40" s="1"/>
  <c r="B114" i="40" s="1"/>
  <c r="B115" i="40" s="1"/>
  <c r="B116" i="40" s="1"/>
  <c r="B117" i="40" s="1"/>
  <c r="B109" i="40"/>
  <c r="B108" i="40"/>
  <c r="B104" i="40"/>
  <c r="B105" i="40"/>
  <c r="B103" i="40"/>
  <c r="B102" i="40"/>
  <c r="B97" i="40"/>
  <c r="B92" i="40"/>
  <c r="B93" i="40"/>
  <c r="B91" i="40"/>
  <c r="B90" i="40"/>
  <c r="B87" i="40"/>
  <c r="B86" i="40"/>
  <c r="B82" i="40"/>
  <c r="B83" i="40" s="1"/>
  <c r="B81" i="40"/>
  <c r="B80" i="40"/>
  <c r="B76" i="40"/>
  <c r="B77" i="40" s="1"/>
  <c r="B78" i="40" s="1"/>
  <c r="B75" i="40"/>
  <c r="B71" i="40"/>
  <c r="B72" i="40" s="1"/>
  <c r="B70" i="40"/>
  <c r="B69" i="40"/>
  <c r="B63" i="40"/>
  <c r="B64" i="40"/>
  <c r="B65" i="40"/>
  <c r="B66" i="40"/>
  <c r="B60" i="40"/>
  <c r="B56" i="40"/>
  <c r="B57" i="40"/>
  <c r="B58" i="40"/>
  <c r="B53" i="40"/>
  <c r="B49" i="40"/>
  <c r="B50" i="40" s="1"/>
  <c r="B51" i="40" s="1"/>
  <c r="B46" i="40"/>
  <c r="B41" i="40"/>
  <c r="B37" i="40"/>
  <c r="B32" i="40"/>
  <c r="J69" i="56"/>
  <c r="J71" i="56"/>
  <c r="O71" i="56"/>
  <c r="J43" i="56"/>
  <c r="J44" i="56"/>
  <c r="J38" i="56"/>
  <c r="J39" i="56"/>
  <c r="J40" i="56"/>
  <c r="J162" i="56"/>
  <c r="J161" i="56"/>
  <c r="J160" i="56"/>
  <c r="J159" i="56"/>
  <c r="J158" i="56"/>
  <c r="J157" i="56"/>
  <c r="J156" i="56"/>
  <c r="J155" i="56"/>
  <c r="J154" i="56"/>
  <c r="J153" i="56"/>
  <c r="J152" i="56"/>
  <c r="J151" i="56"/>
  <c r="J150" i="56"/>
  <c r="J149" i="56"/>
  <c r="J148" i="56"/>
  <c r="J147" i="56"/>
  <c r="J146" i="56"/>
  <c r="J145" i="56"/>
  <c r="J142" i="56"/>
  <c r="J141" i="56"/>
  <c r="J140" i="56"/>
  <c r="J139" i="56"/>
  <c r="J138" i="56"/>
  <c r="J137" i="56"/>
  <c r="J136" i="56"/>
  <c r="J135" i="56"/>
  <c r="J134" i="56"/>
  <c r="J133" i="56"/>
  <c r="J132" i="56"/>
  <c r="J129" i="56"/>
  <c r="J125" i="56"/>
  <c r="J124" i="56"/>
  <c r="J123" i="56"/>
  <c r="J122" i="56"/>
  <c r="J121" i="56"/>
  <c r="J120" i="56"/>
  <c r="J119" i="56"/>
  <c r="J116" i="56"/>
  <c r="J115" i="56"/>
  <c r="J114" i="56"/>
  <c r="J113" i="56"/>
  <c r="J112" i="56"/>
  <c r="J111" i="56"/>
  <c r="J110" i="56"/>
  <c r="J109" i="56"/>
  <c r="J108" i="56"/>
  <c r="J107" i="56"/>
  <c r="J104" i="56"/>
  <c r="J103" i="56"/>
  <c r="J102" i="56"/>
  <c r="J101" i="56"/>
  <c r="J100" i="56"/>
  <c r="J98" i="56"/>
  <c r="J97" i="56"/>
  <c r="J96" i="56"/>
  <c r="J92" i="56"/>
  <c r="J91" i="56"/>
  <c r="J90" i="56"/>
  <c r="J89" i="56"/>
  <c r="J87" i="56"/>
  <c r="J86" i="56"/>
  <c r="J85" i="56"/>
  <c r="J82" i="56"/>
  <c r="J81" i="56"/>
  <c r="J80" i="56"/>
  <c r="J79" i="56"/>
  <c r="J77" i="56"/>
  <c r="J76" i="56"/>
  <c r="J75" i="56"/>
  <c r="J74" i="56"/>
  <c r="J73" i="56"/>
  <c r="J70" i="56"/>
  <c r="J68" i="56"/>
  <c r="J65" i="56"/>
  <c r="J64" i="56"/>
  <c r="J63" i="56"/>
  <c r="J62" i="56"/>
  <c r="J61" i="56"/>
  <c r="J60" i="56"/>
  <c r="J58" i="56"/>
  <c r="J57" i="56"/>
  <c r="J56" i="56"/>
  <c r="J55" i="56"/>
  <c r="J53" i="56"/>
  <c r="J52" i="56"/>
  <c r="J51" i="56"/>
  <c r="J50" i="56"/>
  <c r="J49" i="56"/>
  <c r="J48" i="56"/>
  <c r="J42" i="56"/>
  <c r="J37" i="56"/>
  <c r="J34" i="56"/>
  <c r="J33" i="56"/>
  <c r="J32" i="56"/>
  <c r="J28" i="56"/>
  <c r="J27" i="56"/>
  <c r="J26" i="56"/>
  <c r="J24" i="56"/>
  <c r="J23" i="56"/>
  <c r="J22" i="56"/>
  <c r="J21" i="56"/>
  <c r="J20" i="56"/>
  <c r="J9" i="56"/>
  <c r="J10" i="56"/>
  <c r="J11" i="56"/>
  <c r="J12" i="56"/>
  <c r="J13" i="56"/>
  <c r="J14" i="56"/>
  <c r="J15" i="56"/>
  <c r="J16" i="56"/>
  <c r="J8" i="56"/>
  <c r="AY195" i="60"/>
  <c r="AX195" i="60"/>
  <c r="AW195" i="60"/>
  <c r="AV195" i="60"/>
  <c r="AU195" i="60"/>
  <c r="AT195" i="60"/>
  <c r="AS195" i="60"/>
  <c r="AR195" i="60"/>
  <c r="AQ195" i="60"/>
  <c r="AP195" i="60"/>
  <c r="AO195" i="60"/>
  <c r="AN195" i="60"/>
  <c r="AM195" i="60"/>
  <c r="AL195" i="60"/>
  <c r="AK195" i="60"/>
  <c r="AJ195" i="60"/>
  <c r="AH195" i="60"/>
  <c r="AU194" i="60"/>
  <c r="AV194" i="60" s="1"/>
  <c r="AH194" i="60"/>
  <c r="AU193" i="60"/>
  <c r="AV193" i="60" s="1"/>
  <c r="AH193" i="60"/>
  <c r="AO193" i="60" s="1"/>
  <c r="AU192" i="60"/>
  <c r="AV192" i="60" s="1"/>
  <c r="AH192" i="60"/>
  <c r="AO192" i="60" s="1"/>
  <c r="AU191" i="60"/>
  <c r="AV191" i="60" s="1"/>
  <c r="AH191" i="60"/>
  <c r="AU190" i="60"/>
  <c r="AV190" i="60" s="1"/>
  <c r="AH190" i="60"/>
  <c r="AO190" i="60" s="1"/>
  <c r="AU189" i="60"/>
  <c r="AV189" i="60" s="1"/>
  <c r="AH189" i="60"/>
  <c r="AO189" i="60" s="1"/>
  <c r="AU188" i="60"/>
  <c r="AV188" i="60" s="1"/>
  <c r="AH188" i="60"/>
  <c r="AO188" i="60" s="1"/>
  <c r="AU187" i="60"/>
  <c r="AV187" i="60" s="1"/>
  <c r="AH187" i="60"/>
  <c r="AU186" i="60"/>
  <c r="AV186" i="60" s="1"/>
  <c r="AH186" i="60"/>
  <c r="AU185" i="60"/>
  <c r="AV185" i="60" s="1"/>
  <c r="AH185" i="60"/>
  <c r="AO185" i="60" s="1"/>
  <c r="AU184" i="60"/>
  <c r="AV184" i="60" s="1"/>
  <c r="AH184" i="60"/>
  <c r="AO184" i="60" s="1"/>
  <c r="AU183" i="60"/>
  <c r="AV183" i="60" s="1"/>
  <c r="AH183" i="60"/>
  <c r="AO183" i="60" s="1"/>
  <c r="AU182" i="60"/>
  <c r="AV182" i="60" s="1"/>
  <c r="AH182" i="60"/>
  <c r="AO182" i="60" s="1"/>
  <c r="AU181" i="60"/>
  <c r="AV181" i="60" s="1"/>
  <c r="AH181" i="60"/>
  <c r="AO181" i="60" s="1"/>
  <c r="AU180" i="60"/>
  <c r="AV180" i="60" s="1"/>
  <c r="AH180" i="60"/>
  <c r="AT179" i="60"/>
  <c r="AS179" i="60"/>
  <c r="AR179" i="60"/>
  <c r="AQ179" i="60"/>
  <c r="AP179" i="60"/>
  <c r="AN179" i="60"/>
  <c r="AM179" i="60"/>
  <c r="AL179" i="60"/>
  <c r="AK179" i="60"/>
  <c r="AJ179" i="60"/>
  <c r="AD179" i="60"/>
  <c r="AC179" i="60"/>
  <c r="AB179" i="60"/>
  <c r="AA179" i="60"/>
  <c r="R169" i="60"/>
  <c r="R150" i="60" s="1"/>
  <c r="Q169" i="60"/>
  <c r="Q150" i="60" s="1"/>
  <c r="L169" i="60"/>
  <c r="R132" i="60"/>
  <c r="Q132" i="60"/>
  <c r="Q131" i="60" s="1"/>
  <c r="R130" i="60"/>
  <c r="R122" i="60" s="1"/>
  <c r="Q130" i="60"/>
  <c r="Q122" i="60" s="1"/>
  <c r="M130" i="60"/>
  <c r="L130" i="60"/>
  <c r="N123" i="60"/>
  <c r="O130" i="60" s="1"/>
  <c r="R111" i="60"/>
  <c r="Q111" i="60"/>
  <c r="N120" i="60"/>
  <c r="R110" i="60"/>
  <c r="Q110" i="60"/>
  <c r="M110" i="60"/>
  <c r="L110" i="60"/>
  <c r="N105" i="60"/>
  <c r="R104" i="60"/>
  <c r="Q104" i="60"/>
  <c r="M104" i="60"/>
  <c r="L104" i="60"/>
  <c r="N103" i="60"/>
  <c r="N102" i="60"/>
  <c r="N101" i="60"/>
  <c r="P130" i="60" s="1"/>
  <c r="R98" i="60"/>
  <c r="Q98" i="60"/>
  <c r="M98" i="60"/>
  <c r="L98" i="60"/>
  <c r="N94" i="60"/>
  <c r="R93" i="60"/>
  <c r="Q93" i="60"/>
  <c r="M93" i="60"/>
  <c r="L93" i="60"/>
  <c r="N90" i="60"/>
  <c r="R88" i="60"/>
  <c r="Q88" i="60"/>
  <c r="M88" i="60"/>
  <c r="L88" i="60"/>
  <c r="N84" i="60"/>
  <c r="R83" i="60"/>
  <c r="Q83" i="60"/>
  <c r="M83" i="60"/>
  <c r="L83" i="60"/>
  <c r="N78" i="60"/>
  <c r="R77" i="60"/>
  <c r="Q77" i="60"/>
  <c r="M77" i="60"/>
  <c r="L77" i="60"/>
  <c r="N73" i="60"/>
  <c r="R71" i="60"/>
  <c r="Q71" i="60"/>
  <c r="M71" i="60"/>
  <c r="L71" i="60"/>
  <c r="N64" i="60"/>
  <c r="R63" i="60"/>
  <c r="Q63" i="60"/>
  <c r="M63" i="60"/>
  <c r="L63" i="60"/>
  <c r="N62" i="60"/>
  <c r="N61" i="60"/>
  <c r="N60" i="60"/>
  <c r="N59" i="60"/>
  <c r="N58" i="60"/>
  <c r="N57" i="60"/>
  <c r="R56" i="60"/>
  <c r="Q56" i="60"/>
  <c r="M56" i="60"/>
  <c r="L56" i="60"/>
  <c r="B60" i="60"/>
  <c r="B61" i="60" s="1"/>
  <c r="B62" i="60" s="1"/>
  <c r="B52" i="60"/>
  <c r="B58" i="60" s="1"/>
  <c r="B59" i="60" s="1"/>
  <c r="R43" i="60"/>
  <c r="Q43" i="60"/>
  <c r="M43" i="60"/>
  <c r="L43" i="60"/>
  <c r="N42" i="60"/>
  <c r="N41" i="60"/>
  <c r="R40" i="60"/>
  <c r="Q40" i="60"/>
  <c r="M40" i="60"/>
  <c r="L40" i="60"/>
  <c r="N39" i="60"/>
  <c r="N38" i="60"/>
  <c r="N37" i="60"/>
  <c r="B38" i="60"/>
  <c r="B39" i="60" s="1"/>
  <c r="B41" i="60" s="1"/>
  <c r="B42" i="60" s="1"/>
  <c r="R35" i="60"/>
  <c r="R31" i="60" s="1"/>
  <c r="Q35" i="60"/>
  <c r="Q31" i="60" s="1"/>
  <c r="M35" i="60"/>
  <c r="L35" i="60"/>
  <c r="N34" i="60"/>
  <c r="N33" i="60"/>
  <c r="N32" i="60"/>
  <c r="R29" i="60"/>
  <c r="Q29" i="60"/>
  <c r="M29" i="60"/>
  <c r="L29" i="60"/>
  <c r="N26" i="60"/>
  <c r="R20" i="60"/>
  <c r="Q20" i="60"/>
  <c r="M20" i="60"/>
  <c r="L20" i="60"/>
  <c r="N19" i="60"/>
  <c r="O29" i="60" s="1"/>
  <c r="R7" i="60"/>
  <c r="Q7" i="60"/>
  <c r="M17" i="60"/>
  <c r="L17" i="60"/>
  <c r="B19" i="60"/>
  <c r="N8" i="60"/>
  <c r="AZ189" i="56"/>
  <c r="AY189" i="56"/>
  <c r="AX189" i="56"/>
  <c r="AW189" i="56"/>
  <c r="AV189" i="56"/>
  <c r="AU189" i="56"/>
  <c r="AT189" i="56"/>
  <c r="AS189" i="56"/>
  <c r="AR189" i="56"/>
  <c r="AQ189" i="56"/>
  <c r="AP189" i="56"/>
  <c r="AO189" i="56"/>
  <c r="AN189" i="56"/>
  <c r="AM189" i="56"/>
  <c r="AL189" i="56"/>
  <c r="AK189" i="56"/>
  <c r="AI189" i="56"/>
  <c r="AV188" i="56"/>
  <c r="AW188" i="56" s="1"/>
  <c r="AI188" i="56"/>
  <c r="AV187" i="56"/>
  <c r="AW187" i="56" s="1"/>
  <c r="AI187" i="56"/>
  <c r="AP187" i="56" s="1"/>
  <c r="AV186" i="56"/>
  <c r="AW186" i="56" s="1"/>
  <c r="AI186" i="56"/>
  <c r="AP186" i="56" s="1"/>
  <c r="AV185" i="56"/>
  <c r="AW185" i="56" s="1"/>
  <c r="AI185" i="56"/>
  <c r="AV184" i="56"/>
  <c r="AW184" i="56" s="1"/>
  <c r="AI184" i="56"/>
  <c r="AV183" i="56"/>
  <c r="AW183" i="56" s="1"/>
  <c r="AI183" i="56"/>
  <c r="AP183" i="56" s="1"/>
  <c r="AV182" i="56"/>
  <c r="AW182" i="56" s="1"/>
  <c r="AI182" i="56"/>
  <c r="AP182" i="56" s="1"/>
  <c r="AV181" i="56"/>
  <c r="AW181" i="56" s="1"/>
  <c r="AI181" i="56"/>
  <c r="AV180" i="56"/>
  <c r="AW180" i="56" s="1"/>
  <c r="AI180" i="56"/>
  <c r="AV179" i="56"/>
  <c r="AW179" i="56" s="1"/>
  <c r="AI179" i="56"/>
  <c r="AP179" i="56" s="1"/>
  <c r="AV178" i="56"/>
  <c r="AW178" i="56" s="1"/>
  <c r="AI178" i="56"/>
  <c r="AP178" i="56" s="1"/>
  <c r="AV177" i="56"/>
  <c r="AW177" i="56" s="1"/>
  <c r="AI177" i="56"/>
  <c r="AP177" i="56" s="1"/>
  <c r="AV176" i="56"/>
  <c r="AW176" i="56" s="1"/>
  <c r="AI176" i="56"/>
  <c r="AV175" i="56"/>
  <c r="AW175" i="56" s="1"/>
  <c r="AI175" i="56"/>
  <c r="AP175" i="56" s="1"/>
  <c r="AV174" i="56"/>
  <c r="AW174" i="56" s="1"/>
  <c r="AI174" i="56"/>
  <c r="AP174" i="56" s="1"/>
  <c r="AU173" i="56"/>
  <c r="AT173" i="56"/>
  <c r="AS173" i="56"/>
  <c r="AR173" i="56"/>
  <c r="AQ173" i="56"/>
  <c r="AO173" i="56"/>
  <c r="AN173" i="56"/>
  <c r="AM173" i="56"/>
  <c r="AL173" i="56"/>
  <c r="AK173" i="56"/>
  <c r="AE173" i="56"/>
  <c r="AD173" i="56"/>
  <c r="AC173" i="56"/>
  <c r="AB173" i="56"/>
  <c r="S163" i="56"/>
  <c r="S144" i="56" s="1"/>
  <c r="R163" i="56"/>
  <c r="R144" i="56" s="1"/>
  <c r="S143" i="56"/>
  <c r="S128" i="56" s="1"/>
  <c r="R143" i="56"/>
  <c r="R128" i="56" s="1"/>
  <c r="S126" i="56"/>
  <c r="S118" i="56" s="1"/>
  <c r="R126" i="56"/>
  <c r="R118" i="56" s="1"/>
  <c r="N126" i="56"/>
  <c r="M126" i="56"/>
  <c r="I126" i="56"/>
  <c r="O119" i="56"/>
  <c r="P126" i="56" s="1"/>
  <c r="S117" i="56"/>
  <c r="S106" i="56" s="1"/>
  <c r="R117" i="56"/>
  <c r="R106" i="56" s="1"/>
  <c r="N117" i="56"/>
  <c r="M117" i="56"/>
  <c r="O107" i="56"/>
  <c r="S105" i="56"/>
  <c r="R105" i="56"/>
  <c r="N105" i="56"/>
  <c r="M105" i="56"/>
  <c r="O104" i="56"/>
  <c r="O103" i="56"/>
  <c r="O100" i="56"/>
  <c r="S99" i="56"/>
  <c r="R99" i="56"/>
  <c r="N99" i="56"/>
  <c r="M99" i="56"/>
  <c r="O98" i="56"/>
  <c r="O97" i="56"/>
  <c r="O96" i="56"/>
  <c r="S93" i="56"/>
  <c r="R93" i="56"/>
  <c r="N93" i="56"/>
  <c r="M93" i="56"/>
  <c r="O92" i="56"/>
  <c r="O91" i="56"/>
  <c r="O89" i="56"/>
  <c r="S88" i="56"/>
  <c r="R88" i="56"/>
  <c r="N88" i="56"/>
  <c r="M88" i="56"/>
  <c r="O87" i="56"/>
  <c r="O85" i="56"/>
  <c r="S83" i="56"/>
  <c r="R83" i="56"/>
  <c r="N83" i="56"/>
  <c r="M83" i="56"/>
  <c r="O82" i="56"/>
  <c r="O79" i="56"/>
  <c r="S78" i="56"/>
  <c r="R78" i="56"/>
  <c r="N78" i="56"/>
  <c r="M78" i="56"/>
  <c r="O77" i="56"/>
  <c r="O76" i="56"/>
  <c r="O73" i="56"/>
  <c r="S72" i="56"/>
  <c r="R72" i="56"/>
  <c r="N72" i="56"/>
  <c r="M72" i="56"/>
  <c r="O70" i="56"/>
  <c r="O68" i="56"/>
  <c r="S66" i="56"/>
  <c r="R66" i="56"/>
  <c r="N66" i="56"/>
  <c r="M66" i="56"/>
  <c r="O65" i="56"/>
  <c r="O64" i="56"/>
  <c r="O62" i="56"/>
  <c r="O61" i="56"/>
  <c r="O60" i="56"/>
  <c r="S59" i="56"/>
  <c r="R59" i="56"/>
  <c r="N59" i="56"/>
  <c r="M59" i="56"/>
  <c r="O57" i="56"/>
  <c r="O56" i="56"/>
  <c r="O55" i="56"/>
  <c r="S54" i="56"/>
  <c r="R54" i="56"/>
  <c r="N54" i="56"/>
  <c r="M54" i="56"/>
  <c r="O53" i="56"/>
  <c r="O52" i="56"/>
  <c r="O51" i="56"/>
  <c r="O50" i="56"/>
  <c r="O49" i="56"/>
  <c r="O48" i="56"/>
  <c r="S45" i="56"/>
  <c r="R45" i="56"/>
  <c r="N45" i="56"/>
  <c r="M45" i="56"/>
  <c r="O44" i="56"/>
  <c r="O42" i="56"/>
  <c r="N41" i="56"/>
  <c r="M41" i="56"/>
  <c r="S35" i="56"/>
  <c r="S31" i="56" s="1"/>
  <c r="R35" i="56"/>
  <c r="R31" i="56" s="1"/>
  <c r="N35" i="56"/>
  <c r="M35" i="56"/>
  <c r="O34" i="56"/>
  <c r="O32" i="56"/>
  <c r="S29" i="56"/>
  <c r="R29" i="56"/>
  <c r="N29" i="56"/>
  <c r="M29" i="56"/>
  <c r="O28" i="56"/>
  <c r="O26" i="56"/>
  <c r="S25" i="56"/>
  <c r="R25" i="56"/>
  <c r="O24" i="56"/>
  <c r="O23" i="56"/>
  <c r="O21" i="56"/>
  <c r="S20" i="56"/>
  <c r="R20" i="56"/>
  <c r="N20" i="56"/>
  <c r="M20" i="56"/>
  <c r="O19" i="56"/>
  <c r="S17" i="56"/>
  <c r="S7" i="56" s="1"/>
  <c r="R17" i="56"/>
  <c r="R7" i="56" s="1"/>
  <c r="O16" i="56"/>
  <c r="B9" i="56"/>
  <c r="B10" i="56" s="1"/>
  <c r="B11" i="56" s="1"/>
  <c r="B12" i="56" s="1"/>
  <c r="B13" i="56" s="1"/>
  <c r="B14" i="56" s="1"/>
  <c r="B15" i="56" s="1"/>
  <c r="B16" i="56" s="1"/>
  <c r="B19" i="56" s="1"/>
  <c r="B21" i="56" s="1"/>
  <c r="B22" i="56" s="1"/>
  <c r="B23" i="56" s="1"/>
  <c r="B24" i="56" s="1"/>
  <c r="O121" i="60" l="1"/>
  <c r="N121" i="60"/>
  <c r="P172" i="60"/>
  <c r="P29" i="60"/>
  <c r="Q100" i="60"/>
  <c r="Q18" i="60"/>
  <c r="R100" i="60"/>
  <c r="R131" i="60"/>
  <c r="R99" i="60"/>
  <c r="Q49" i="60"/>
  <c r="R18" i="60"/>
  <c r="R6" i="60" s="1"/>
  <c r="Q36" i="60"/>
  <c r="Q30" i="60" s="1"/>
  <c r="R72" i="60"/>
  <c r="R49" i="60"/>
  <c r="Q89" i="60"/>
  <c r="Q72" i="60"/>
  <c r="R89" i="60"/>
  <c r="R36" i="60"/>
  <c r="R30" i="60" s="1"/>
  <c r="Q99" i="60"/>
  <c r="B21" i="60"/>
  <c r="B22" i="60" s="1"/>
  <c r="B23" i="60" s="1"/>
  <c r="B24" i="60" s="1"/>
  <c r="N110" i="60"/>
  <c r="P47" i="60"/>
  <c r="O47" i="60"/>
  <c r="AW180" i="60"/>
  <c r="AX180" i="60" s="1"/>
  <c r="AW185" i="60"/>
  <c r="AX185" i="60" s="1"/>
  <c r="N40" i="60"/>
  <c r="N88" i="60"/>
  <c r="AW191" i="60"/>
  <c r="AX191" i="60" s="1"/>
  <c r="AW186" i="60"/>
  <c r="AX186" i="60" s="1"/>
  <c r="N35" i="60"/>
  <c r="N56" i="60"/>
  <c r="N71" i="60"/>
  <c r="AW181" i="60"/>
  <c r="AX181" i="60" s="1"/>
  <c r="AO186" i="60"/>
  <c r="N43" i="60"/>
  <c r="N83" i="60"/>
  <c r="AO191" i="60"/>
  <c r="AW193" i="60"/>
  <c r="AX193" i="60" s="1"/>
  <c r="P98" i="60"/>
  <c r="O17" i="60"/>
  <c r="N20" i="60"/>
  <c r="N29" i="60"/>
  <c r="N93" i="60"/>
  <c r="AO180" i="60"/>
  <c r="AW187" i="60"/>
  <c r="AX187" i="60" s="1"/>
  <c r="AW194" i="60"/>
  <c r="AX194" i="60" s="1"/>
  <c r="Q6" i="60"/>
  <c r="N63" i="60"/>
  <c r="N98" i="60"/>
  <c r="O98" i="60"/>
  <c r="AU179" i="60"/>
  <c r="AO187" i="60"/>
  <c r="AW189" i="60"/>
  <c r="AX189" i="60" s="1"/>
  <c r="AO194" i="60"/>
  <c r="AW182" i="60"/>
  <c r="AX182" i="60" s="1"/>
  <c r="AH179" i="60"/>
  <c r="AW190" i="60"/>
  <c r="AX190" i="60" s="1"/>
  <c r="N17" i="60"/>
  <c r="AX181" i="56"/>
  <c r="AY181" i="56" s="1"/>
  <c r="J45" i="56"/>
  <c r="I47" i="56"/>
  <c r="AX180" i="56"/>
  <c r="AY180" i="56" s="1"/>
  <c r="P35" i="56"/>
  <c r="J105" i="56"/>
  <c r="AX184" i="56"/>
  <c r="AY184" i="56" s="1"/>
  <c r="AX175" i="56"/>
  <c r="AY175" i="56" s="1"/>
  <c r="S95" i="56"/>
  <c r="S94" i="56" s="1"/>
  <c r="AX185" i="56"/>
  <c r="AY185" i="56" s="1"/>
  <c r="P93" i="56"/>
  <c r="J117" i="56"/>
  <c r="J106" i="56" s="1"/>
  <c r="J143" i="56"/>
  <c r="J128" i="56" s="1"/>
  <c r="J163" i="56"/>
  <c r="J144" i="56" s="1"/>
  <c r="R18" i="56"/>
  <c r="R6" i="56" s="1"/>
  <c r="J88" i="56"/>
  <c r="P117" i="56"/>
  <c r="AX179" i="56"/>
  <c r="AY179" i="56" s="1"/>
  <c r="AX186" i="56"/>
  <c r="AY186" i="56" s="1"/>
  <c r="AP181" i="56"/>
  <c r="R67" i="56"/>
  <c r="O83" i="56"/>
  <c r="S84" i="56"/>
  <c r="J29" i="56"/>
  <c r="R47" i="56"/>
  <c r="J99" i="56"/>
  <c r="O54" i="56"/>
  <c r="O88" i="56"/>
  <c r="AX178" i="56"/>
  <c r="AY178" i="56" s="1"/>
  <c r="AX187" i="56"/>
  <c r="AY187" i="56" s="1"/>
  <c r="R95" i="56"/>
  <c r="R94" i="56" s="1"/>
  <c r="O117" i="56"/>
  <c r="AI173" i="56"/>
  <c r="AP185" i="56"/>
  <c r="AX188" i="56"/>
  <c r="AY188" i="56" s="1"/>
  <c r="AX182" i="56"/>
  <c r="AY182" i="56" s="1"/>
  <c r="O66" i="56"/>
  <c r="O45" i="56"/>
  <c r="S67" i="56"/>
  <c r="O93" i="56"/>
  <c r="AV173" i="56"/>
  <c r="O59" i="56"/>
  <c r="O105" i="56"/>
  <c r="O35" i="56"/>
  <c r="S18" i="56"/>
  <c r="S6" i="56" s="1"/>
  <c r="S47" i="56"/>
  <c r="J72" i="56"/>
  <c r="O78" i="56"/>
  <c r="R84" i="56"/>
  <c r="AX183" i="56"/>
  <c r="AY183" i="56" s="1"/>
  <c r="J25" i="56"/>
  <c r="B27" i="60"/>
  <c r="B28" i="60" s="1"/>
  <c r="AV179" i="60"/>
  <c r="B64" i="60"/>
  <c r="B65" i="60" s="1"/>
  <c r="B66" i="60" s="1"/>
  <c r="B67" i="60" s="1"/>
  <c r="B68" i="60" s="1"/>
  <c r="B69" i="60" s="1"/>
  <c r="B70" i="60" s="1"/>
  <c r="B84" i="60" s="1"/>
  <c r="B85" i="60" s="1"/>
  <c r="B86" i="60" s="1"/>
  <c r="B87" i="60" s="1"/>
  <c r="B90" i="60" s="1"/>
  <c r="B91" i="60" s="1"/>
  <c r="B92" i="60" s="1"/>
  <c r="AW184" i="60"/>
  <c r="AX184" i="60" s="1"/>
  <c r="AW188" i="60"/>
  <c r="AX188" i="60" s="1"/>
  <c r="AW192" i="60"/>
  <c r="AX192" i="60" s="1"/>
  <c r="O71" i="60"/>
  <c r="N77" i="60"/>
  <c r="AW183" i="60"/>
  <c r="AX183" i="60" s="1"/>
  <c r="N104" i="60"/>
  <c r="N130" i="60"/>
  <c r="O110" i="60"/>
  <c r="O35" i="60"/>
  <c r="J126" i="56"/>
  <c r="J118" i="56" s="1"/>
  <c r="J93" i="56"/>
  <c r="J83" i="56"/>
  <c r="J78" i="56"/>
  <c r="J66" i="56"/>
  <c r="J59" i="56"/>
  <c r="J54" i="56"/>
  <c r="J41" i="56"/>
  <c r="J35" i="56"/>
  <c r="J31" i="56" s="1"/>
  <c r="J17" i="56"/>
  <c r="J7" i="56" s="1"/>
  <c r="AW173" i="56"/>
  <c r="B26" i="56"/>
  <c r="B27" i="56" s="1"/>
  <c r="B28" i="56" s="1"/>
  <c r="B32" i="56" s="1"/>
  <c r="B33" i="56" s="1"/>
  <c r="B34" i="56" s="1"/>
  <c r="B37" i="56" s="1"/>
  <c r="B38" i="56" s="1"/>
  <c r="B39" i="56" s="1"/>
  <c r="B40" i="56" s="1"/>
  <c r="B42" i="56" s="1"/>
  <c r="B43" i="56" s="1"/>
  <c r="B44" i="56" s="1"/>
  <c r="B51" i="56" s="1"/>
  <c r="B52" i="56" s="1"/>
  <c r="B53" i="56" s="1"/>
  <c r="AX177" i="56"/>
  <c r="AY177" i="56" s="1"/>
  <c r="Q93" i="56"/>
  <c r="AX174" i="56"/>
  <c r="AP180" i="56"/>
  <c r="AP184" i="56"/>
  <c r="O72" i="56"/>
  <c r="P105" i="56"/>
  <c r="AP176" i="56"/>
  <c r="AP188" i="56"/>
  <c r="O29" i="56"/>
  <c r="O99" i="56"/>
  <c r="O126" i="56"/>
  <c r="AX176" i="56"/>
  <c r="AY176" i="56" s="1"/>
  <c r="Q48" i="60" l="1"/>
  <c r="Q5" i="60" s="1"/>
  <c r="Q171" i="60" s="1"/>
  <c r="R48" i="60"/>
  <c r="R5" i="60" s="1"/>
  <c r="R171" i="60" s="1"/>
  <c r="AO179" i="60"/>
  <c r="B55" i="56"/>
  <c r="B56" i="56" s="1"/>
  <c r="B57" i="56" s="1"/>
  <c r="B58" i="56" s="1"/>
  <c r="B60" i="56" s="1"/>
  <c r="B61" i="56" s="1"/>
  <c r="B62" i="56" s="1"/>
  <c r="B63" i="56" s="1"/>
  <c r="B64" i="56" s="1"/>
  <c r="B65" i="56" s="1"/>
  <c r="B68" i="56" s="1"/>
  <c r="B70" i="56" s="1"/>
  <c r="B73" i="56" s="1"/>
  <c r="J95" i="56"/>
  <c r="J94" i="56" s="1"/>
  <c r="J36" i="56"/>
  <c r="J30" i="56" s="1"/>
  <c r="J84" i="56"/>
  <c r="I46" i="56"/>
  <c r="S46" i="56"/>
  <c r="J18" i="56"/>
  <c r="J6" i="56" s="1"/>
  <c r="J127" i="56"/>
  <c r="R46" i="56"/>
  <c r="J67" i="56"/>
  <c r="AP173" i="56"/>
  <c r="AX179" i="60"/>
  <c r="B78" i="60"/>
  <c r="B79" i="60" s="1"/>
  <c r="B80" i="60" s="1"/>
  <c r="B81" i="60" s="1"/>
  <c r="B82" i="60" s="1"/>
  <c r="AW179" i="60"/>
  <c r="J47" i="56"/>
  <c r="AX173" i="56"/>
  <c r="AY174" i="56"/>
  <c r="AY173" i="56" s="1"/>
  <c r="B74" i="56" l="1"/>
  <c r="B75" i="56" s="1"/>
  <c r="B76" i="56" s="1"/>
  <c r="B77" i="56" s="1"/>
  <c r="B79" i="56" s="1"/>
  <c r="B80" i="56" s="1"/>
  <c r="J46" i="56"/>
  <c r="J5" i="56" s="1"/>
  <c r="J165" i="56" s="1"/>
  <c r="J167" i="56" s="1"/>
  <c r="B101" i="60"/>
  <c r="B102" i="60" s="1"/>
  <c r="B103" i="60" s="1"/>
  <c r="B105" i="60" s="1"/>
  <c r="B106" i="60" s="1"/>
  <c r="B107" i="60" s="1"/>
  <c r="B108" i="60" s="1"/>
  <c r="B109" i="60" s="1"/>
  <c r="B113" i="60" s="1"/>
  <c r="B114" i="60" s="1"/>
  <c r="B115" i="60" s="1"/>
  <c r="B116" i="60" s="1"/>
  <c r="B117" i="60" s="1"/>
  <c r="B94" i="60"/>
  <c r="B95" i="60" s="1"/>
  <c r="B96" i="60" s="1"/>
  <c r="B97" i="60" s="1"/>
  <c r="B82" i="56" l="1"/>
  <c r="B85" i="56" s="1"/>
  <c r="B89" i="56" l="1"/>
  <c r="B90" i="56" s="1"/>
  <c r="B91" i="56" s="1"/>
  <c r="B92" i="56" s="1"/>
  <c r="B96" i="56" s="1"/>
  <c r="B97" i="56" s="1"/>
  <c r="B98" i="56" s="1"/>
  <c r="B100" i="56" s="1"/>
  <c r="BA204" i="40"/>
  <c r="AZ204" i="40"/>
  <c r="AY204" i="40"/>
  <c r="AX204" i="40"/>
  <c r="AW204" i="40"/>
  <c r="AV204" i="40"/>
  <c r="AU204" i="40"/>
  <c r="AT204" i="40"/>
  <c r="AS204" i="40"/>
  <c r="AR204" i="40"/>
  <c r="AQ204" i="40"/>
  <c r="AP204" i="40"/>
  <c r="AO204" i="40"/>
  <c r="AN204" i="40"/>
  <c r="AM204" i="40"/>
  <c r="AL204" i="40"/>
  <c r="AJ204" i="40"/>
  <c r="AX203" i="40"/>
  <c r="AW203" i="40"/>
  <c r="AJ203" i="40"/>
  <c r="AQ203" i="40" s="1"/>
  <c r="AX202" i="40"/>
  <c r="AY202" i="40" s="1"/>
  <c r="AZ202" i="40" s="1"/>
  <c r="AW202" i="40"/>
  <c r="AQ202" i="40"/>
  <c r="AJ202" i="40"/>
  <c r="AX201" i="40"/>
  <c r="AY201" i="40" s="1"/>
  <c r="AZ201" i="40" s="1"/>
  <c r="AW201" i="40"/>
  <c r="AQ201" i="40"/>
  <c r="AJ201" i="40"/>
  <c r="AW200" i="40"/>
  <c r="AX200" i="40" s="1"/>
  <c r="AQ200" i="40"/>
  <c r="AJ200" i="40"/>
  <c r="AY200" i="40" s="1"/>
  <c r="AZ200" i="40" s="1"/>
  <c r="AX199" i="40"/>
  <c r="AW199" i="40"/>
  <c r="AJ199" i="40"/>
  <c r="AQ199" i="40" s="1"/>
  <c r="AX198" i="40"/>
  <c r="AY198" i="40" s="1"/>
  <c r="AZ198" i="40" s="1"/>
  <c r="AW198" i="40"/>
  <c r="AQ198" i="40"/>
  <c r="AJ198" i="40"/>
  <c r="AX197" i="40"/>
  <c r="AY197" i="40" s="1"/>
  <c r="AZ197" i="40" s="1"/>
  <c r="AW197" i="40"/>
  <c r="AQ197" i="40"/>
  <c r="AJ197" i="40"/>
  <c r="AW196" i="40"/>
  <c r="AX196" i="40" s="1"/>
  <c r="AQ196" i="40"/>
  <c r="AJ196" i="40"/>
  <c r="AX195" i="40"/>
  <c r="AW195" i="40"/>
  <c r="AJ195" i="40"/>
  <c r="AQ195" i="40" s="1"/>
  <c r="AZ194" i="40"/>
  <c r="AY194" i="40"/>
  <c r="AX194" i="40"/>
  <c r="AW194" i="40"/>
  <c r="AQ194" i="40"/>
  <c r="AJ194" i="40"/>
  <c r="AX193" i="40"/>
  <c r="AY193" i="40" s="1"/>
  <c r="AZ193" i="40" s="1"/>
  <c r="AW193" i="40"/>
  <c r="AQ193" i="40"/>
  <c r="AJ193" i="40"/>
  <c r="AW192" i="40"/>
  <c r="AX192" i="40" s="1"/>
  <c r="AQ192" i="40"/>
  <c r="AJ192" i="40"/>
  <c r="AY192" i="40" s="1"/>
  <c r="AZ192" i="40" s="1"/>
  <c r="AX191" i="40"/>
  <c r="AW191" i="40"/>
  <c r="AJ191" i="40"/>
  <c r="AY191" i="40" s="1"/>
  <c r="AZ191" i="40" s="1"/>
  <c r="AZ190" i="40"/>
  <c r="AY190" i="40"/>
  <c r="AX190" i="40"/>
  <c r="AW190" i="40"/>
  <c r="AQ190" i="40"/>
  <c r="AJ190" i="40"/>
  <c r="AX189" i="40"/>
  <c r="AX188" i="40" s="1"/>
  <c r="AW189" i="40"/>
  <c r="AQ189" i="40"/>
  <c r="AJ189" i="40"/>
  <c r="AW188" i="40"/>
  <c r="AV188" i="40"/>
  <c r="AU188" i="40"/>
  <c r="AT188" i="40"/>
  <c r="AS188" i="40"/>
  <c r="AR188" i="40"/>
  <c r="AP188" i="40"/>
  <c r="AO188" i="40"/>
  <c r="AN188" i="40"/>
  <c r="AM188" i="40"/>
  <c r="AL188" i="40"/>
  <c r="AF188" i="40"/>
  <c r="AE188" i="40"/>
  <c r="AD188" i="40"/>
  <c r="AC188" i="40"/>
  <c r="T127" i="40"/>
  <c r="T119" i="40" s="1"/>
  <c r="S142" i="40"/>
  <c r="S129" i="40" s="1"/>
  <c r="T142" i="40"/>
  <c r="T129" i="40" s="1"/>
  <c r="S162" i="40"/>
  <c r="S143" i="40" s="1"/>
  <c r="T162" i="40"/>
  <c r="T143" i="40" s="1"/>
  <c r="S179" i="40"/>
  <c r="S163" i="40" s="1"/>
  <c r="T179" i="40"/>
  <c r="T163" i="40" s="1"/>
  <c r="J179" i="40"/>
  <c r="I179" i="40"/>
  <c r="I163" i="40"/>
  <c r="T59" i="40"/>
  <c r="S59" i="40"/>
  <c r="S67" i="40"/>
  <c r="N67" i="40"/>
  <c r="O67" i="40"/>
  <c r="N59" i="40"/>
  <c r="O59" i="40"/>
  <c r="N52" i="40"/>
  <c r="O52" i="40"/>
  <c r="J163" i="40"/>
  <c r="J143" i="40"/>
  <c r="I143" i="40"/>
  <c r="S95" i="40"/>
  <c r="J95" i="40"/>
  <c r="I95" i="40"/>
  <c r="K95" i="40"/>
  <c r="S119" i="40"/>
  <c r="I119" i="40"/>
  <c r="S107" i="40"/>
  <c r="I107" i="40"/>
  <c r="S96" i="40"/>
  <c r="J96" i="40"/>
  <c r="I96" i="40"/>
  <c r="K96" i="40"/>
  <c r="J106" i="40"/>
  <c r="I106" i="40"/>
  <c r="K102" i="40"/>
  <c r="K103" i="40"/>
  <c r="K104" i="40"/>
  <c r="K105" i="40"/>
  <c r="K100" i="40"/>
  <c r="J44" i="40"/>
  <c r="I44" i="40"/>
  <c r="K44" i="40"/>
  <c r="S30" i="40"/>
  <c r="J30" i="40"/>
  <c r="I30" i="40"/>
  <c r="K30" i="40"/>
  <c r="S85" i="40"/>
  <c r="J85" i="40"/>
  <c r="I85" i="40"/>
  <c r="K85" i="40"/>
  <c r="S68" i="40"/>
  <c r="J68" i="40"/>
  <c r="I68" i="40"/>
  <c r="K68" i="40"/>
  <c r="K54" i="40"/>
  <c r="K55" i="40"/>
  <c r="K56" i="40"/>
  <c r="K57" i="40"/>
  <c r="K58" i="40"/>
  <c r="K61" i="40"/>
  <c r="K62" i="40"/>
  <c r="K63" i="40"/>
  <c r="K64" i="40"/>
  <c r="K65" i="40"/>
  <c r="K66" i="40"/>
  <c r="T67" i="40"/>
  <c r="J67" i="40"/>
  <c r="I67" i="40"/>
  <c r="J59" i="40"/>
  <c r="I59" i="40"/>
  <c r="T52" i="40"/>
  <c r="S52" i="40"/>
  <c r="J52" i="40"/>
  <c r="I52" i="40"/>
  <c r="T45" i="40"/>
  <c r="J45" i="40"/>
  <c r="I45" i="40"/>
  <c r="S36" i="40"/>
  <c r="J36" i="40"/>
  <c r="I36" i="40"/>
  <c r="K36" i="40"/>
  <c r="T31" i="40"/>
  <c r="S31" i="40"/>
  <c r="J31" i="40"/>
  <c r="I31" i="40"/>
  <c r="K31" i="40"/>
  <c r="T35" i="40"/>
  <c r="S35" i="40"/>
  <c r="J35" i="40"/>
  <c r="I35" i="40"/>
  <c r="N162" i="40"/>
  <c r="I162" i="40"/>
  <c r="J162" i="40"/>
  <c r="K151" i="40"/>
  <c r="K152" i="40"/>
  <c r="K153" i="40"/>
  <c r="K154" i="40"/>
  <c r="K155" i="40"/>
  <c r="K156" i="40"/>
  <c r="K157" i="40"/>
  <c r="K161" i="40"/>
  <c r="K160" i="40"/>
  <c r="K159" i="40"/>
  <c r="K158" i="40"/>
  <c r="K150" i="40"/>
  <c r="K149" i="40"/>
  <c r="K148" i="40"/>
  <c r="K147" i="40"/>
  <c r="K146" i="40"/>
  <c r="K145" i="40"/>
  <c r="K144" i="40"/>
  <c r="J142" i="40"/>
  <c r="J129" i="40" s="1"/>
  <c r="I142" i="40"/>
  <c r="I129" i="40" s="1"/>
  <c r="K132" i="40"/>
  <c r="K133" i="40"/>
  <c r="K134" i="40"/>
  <c r="K135" i="40"/>
  <c r="K136" i="40"/>
  <c r="K137" i="40"/>
  <c r="K138" i="40"/>
  <c r="S127" i="40"/>
  <c r="O127" i="40"/>
  <c r="N127" i="40"/>
  <c r="J127" i="40"/>
  <c r="J119" i="40" s="1"/>
  <c r="I127" i="40"/>
  <c r="K126" i="40"/>
  <c r="K125" i="40"/>
  <c r="K124" i="40"/>
  <c r="K123" i="40"/>
  <c r="K122" i="40"/>
  <c r="K121" i="40"/>
  <c r="P120" i="40"/>
  <c r="K120" i="40"/>
  <c r="K130" i="40"/>
  <c r="K131" i="40"/>
  <c r="K139" i="40"/>
  <c r="K140" i="40"/>
  <c r="K141" i="40"/>
  <c r="N142" i="40"/>
  <c r="O142" i="40"/>
  <c r="K164" i="40"/>
  <c r="K165" i="40"/>
  <c r="K166" i="40"/>
  <c r="K109" i="40"/>
  <c r="K110" i="40"/>
  <c r="K111" i="40"/>
  <c r="K112" i="40"/>
  <c r="K113" i="40"/>
  <c r="K114" i="40"/>
  <c r="K115" i="40"/>
  <c r="K116" i="40"/>
  <c r="K117" i="40"/>
  <c r="T118" i="40"/>
  <c r="T107" i="40" s="1"/>
  <c r="S118" i="40"/>
  <c r="O118" i="40"/>
  <c r="N118" i="40"/>
  <c r="J118" i="40"/>
  <c r="J107" i="40" s="1"/>
  <c r="I118" i="40"/>
  <c r="P117" i="40"/>
  <c r="P116" i="40"/>
  <c r="P108" i="40"/>
  <c r="K108" i="40"/>
  <c r="J100" i="40"/>
  <c r="I100" i="40"/>
  <c r="T94" i="40"/>
  <c r="T85" i="40" s="1"/>
  <c r="S94" i="40"/>
  <c r="O94" i="40"/>
  <c r="N94" i="40"/>
  <c r="J94" i="40"/>
  <c r="I94" i="40"/>
  <c r="P93" i="40"/>
  <c r="K93" i="40"/>
  <c r="P92" i="40"/>
  <c r="K92" i="40"/>
  <c r="K91" i="40"/>
  <c r="P90" i="40"/>
  <c r="K90" i="40"/>
  <c r="T89" i="40"/>
  <c r="S89" i="40"/>
  <c r="O89" i="40"/>
  <c r="N89" i="40"/>
  <c r="J89" i="40"/>
  <c r="I89" i="40"/>
  <c r="P88" i="40"/>
  <c r="K88" i="40"/>
  <c r="K87" i="40"/>
  <c r="P86" i="40"/>
  <c r="Q94" i="40" s="1"/>
  <c r="K86" i="40"/>
  <c r="T84" i="40"/>
  <c r="S84" i="40"/>
  <c r="O84" i="40"/>
  <c r="N84" i="40"/>
  <c r="J84" i="40"/>
  <c r="I84" i="40"/>
  <c r="P83" i="40"/>
  <c r="K83" i="40"/>
  <c r="P82" i="40"/>
  <c r="K82" i="40"/>
  <c r="K81" i="40"/>
  <c r="P80" i="40"/>
  <c r="K80" i="40"/>
  <c r="J79" i="40"/>
  <c r="I79" i="40"/>
  <c r="K76" i="40"/>
  <c r="K75" i="40"/>
  <c r="K72" i="40"/>
  <c r="K71" i="40"/>
  <c r="K70" i="40"/>
  <c r="J73" i="40"/>
  <c r="I73" i="40"/>
  <c r="P66" i="40"/>
  <c r="P65" i="40"/>
  <c r="P63" i="40"/>
  <c r="P62" i="40"/>
  <c r="P61" i="40"/>
  <c r="P60" i="40"/>
  <c r="P67" i="40" s="1"/>
  <c r="K60" i="40"/>
  <c r="P58" i="40"/>
  <c r="P57" i="40"/>
  <c r="P56" i="40"/>
  <c r="P51" i="40"/>
  <c r="K51" i="40"/>
  <c r="P50" i="40"/>
  <c r="K50" i="40"/>
  <c r="P49" i="40"/>
  <c r="K49" i="40"/>
  <c r="J43" i="40"/>
  <c r="I43" i="40"/>
  <c r="J40" i="40"/>
  <c r="I40" i="40"/>
  <c r="T43" i="40"/>
  <c r="S43" i="40"/>
  <c r="O43" i="40"/>
  <c r="N43" i="40"/>
  <c r="P42" i="40"/>
  <c r="K42" i="40"/>
  <c r="P41" i="40"/>
  <c r="K41" i="40"/>
  <c r="B42" i="40"/>
  <c r="T29" i="40"/>
  <c r="S29" i="40"/>
  <c r="O29" i="40"/>
  <c r="N29" i="40"/>
  <c r="J29" i="40"/>
  <c r="I29" i="40"/>
  <c r="P28" i="40"/>
  <c r="K28" i="40"/>
  <c r="K27" i="40"/>
  <c r="P26" i="40"/>
  <c r="K26" i="40"/>
  <c r="J25" i="40"/>
  <c r="I25" i="40"/>
  <c r="J20" i="40"/>
  <c r="I20" i="40"/>
  <c r="K8" i="40"/>
  <c r="K178" i="40"/>
  <c r="K177" i="40"/>
  <c r="K176" i="40"/>
  <c r="K175" i="40"/>
  <c r="K174" i="40"/>
  <c r="K173" i="40"/>
  <c r="K172" i="40"/>
  <c r="K171" i="40"/>
  <c r="K170" i="40"/>
  <c r="K169" i="40"/>
  <c r="K168" i="40"/>
  <c r="K167" i="40"/>
  <c r="K101" i="40"/>
  <c r="K99" i="40"/>
  <c r="K98" i="40"/>
  <c r="K97" i="40"/>
  <c r="K78" i="40"/>
  <c r="K77" i="40"/>
  <c r="K74" i="40"/>
  <c r="K69" i="40"/>
  <c r="K53" i="40"/>
  <c r="K48" i="40"/>
  <c r="K47" i="40"/>
  <c r="K46" i="40"/>
  <c r="K39" i="40"/>
  <c r="K38" i="40"/>
  <c r="K37" i="40"/>
  <c r="K34" i="40"/>
  <c r="K33" i="40"/>
  <c r="K32" i="40"/>
  <c r="K24" i="40"/>
  <c r="K23" i="40"/>
  <c r="K22" i="40"/>
  <c r="K21" i="40"/>
  <c r="K19" i="40"/>
  <c r="K16" i="40"/>
  <c r="K15" i="40"/>
  <c r="K14" i="40"/>
  <c r="K13" i="40"/>
  <c r="K12" i="40"/>
  <c r="K11" i="40"/>
  <c r="K10" i="40"/>
  <c r="K9" i="40"/>
  <c r="J17" i="40"/>
  <c r="J7" i="40" s="1"/>
  <c r="I17" i="40"/>
  <c r="I7" i="40" s="1"/>
  <c r="B9" i="40"/>
  <c r="B10" i="40" s="1"/>
  <c r="B11" i="40" s="1"/>
  <c r="B12" i="40" s="1"/>
  <c r="B13" i="40" s="1"/>
  <c r="B14" i="40" s="1"/>
  <c r="B15" i="40" s="1"/>
  <c r="B16" i="40" s="1"/>
  <c r="B19" i="40" s="1"/>
  <c r="B21" i="40" s="1"/>
  <c r="B22" i="40" s="1"/>
  <c r="B23" i="40" s="1"/>
  <c r="B24" i="40" s="1"/>
  <c r="B26" i="40" s="1"/>
  <c r="B27" i="40" s="1"/>
  <c r="B28" i="40" s="1"/>
  <c r="N179" i="40"/>
  <c r="P127" i="40" l="1"/>
  <c r="Q127" i="40"/>
  <c r="Q118" i="40"/>
  <c r="P118" i="40"/>
  <c r="B102" i="56"/>
  <c r="B103" i="56" s="1"/>
  <c r="B104" i="56" s="1"/>
  <c r="AY196" i="40"/>
  <c r="AZ196" i="40" s="1"/>
  <c r="AQ191" i="40"/>
  <c r="AQ188" i="40" s="1"/>
  <c r="AJ188" i="40"/>
  <c r="AY195" i="40"/>
  <c r="AZ195" i="40" s="1"/>
  <c r="AY199" i="40"/>
  <c r="AZ199" i="40" s="1"/>
  <c r="AY203" i="40"/>
  <c r="AZ203" i="40" s="1"/>
  <c r="AY189" i="40"/>
  <c r="K162" i="40"/>
  <c r="K143" i="40" s="1"/>
  <c r="S45" i="40"/>
  <c r="S44" i="40" s="1"/>
  <c r="K142" i="40"/>
  <c r="K129" i="40" s="1"/>
  <c r="K127" i="40"/>
  <c r="K119" i="40" s="1"/>
  <c r="K118" i="40"/>
  <c r="K107" i="40" s="1"/>
  <c r="K94" i="40"/>
  <c r="P94" i="40"/>
  <c r="P89" i="40"/>
  <c r="K89" i="40"/>
  <c r="K59" i="40"/>
  <c r="P84" i="40"/>
  <c r="K84" i="40"/>
  <c r="K67" i="40"/>
  <c r="K45" i="40" s="1"/>
  <c r="K52" i="40"/>
  <c r="J18" i="40"/>
  <c r="J6" i="40" s="1"/>
  <c r="J5" i="40" s="1"/>
  <c r="K43" i="40"/>
  <c r="I18" i="40"/>
  <c r="I6" i="40" s="1"/>
  <c r="I5" i="40" s="1"/>
  <c r="P43" i="40"/>
  <c r="P29" i="40"/>
  <c r="K29" i="40"/>
  <c r="K179" i="40"/>
  <c r="K163" i="40" s="1"/>
  <c r="K128" i="40" s="1"/>
  <c r="B108" i="56" l="1"/>
  <c r="B109" i="56" s="1"/>
  <c r="B110" i="56" s="1"/>
  <c r="B111" i="56" s="1"/>
  <c r="B112" i="56" s="1"/>
  <c r="B113" i="56" s="1"/>
  <c r="AZ189" i="40"/>
  <c r="AZ188" i="40" s="1"/>
  <c r="AY188" i="40"/>
  <c r="M63" i="21" l="1"/>
  <c r="T25" i="40"/>
  <c r="S25" i="40"/>
  <c r="O25" i="40"/>
  <c r="N25" i="40"/>
  <c r="P24" i="40"/>
  <c r="P23" i="40"/>
  <c r="P21" i="40"/>
  <c r="T20" i="40"/>
  <c r="S20" i="40"/>
  <c r="O20" i="40"/>
  <c r="N20" i="40"/>
  <c r="P19" i="40"/>
  <c r="Q29" i="40" s="1"/>
  <c r="T18" i="40" l="1"/>
  <c r="S18" i="40"/>
  <c r="P20" i="40"/>
  <c r="K25" i="40"/>
  <c r="K20" i="40"/>
  <c r="P25" i="40"/>
  <c r="X44" i="21"/>
  <c r="W44" i="21"/>
  <c r="U44" i="21"/>
  <c r="T44" i="21"/>
  <c r="R44" i="21"/>
  <c r="Q44" i="21"/>
  <c r="O44" i="21"/>
  <c r="N44" i="21"/>
  <c r="L44" i="21"/>
  <c r="K44" i="21"/>
  <c r="G44" i="21"/>
  <c r="M67" i="21"/>
  <c r="M43" i="21"/>
  <c r="M41" i="21"/>
  <c r="Y67" i="21"/>
  <c r="K18" i="40" l="1"/>
  <c r="Y41" i="21"/>
  <c r="S41" i="21"/>
  <c r="W19" i="21"/>
  <c r="Q19" i="21"/>
  <c r="N19" i="21"/>
  <c r="K19" i="21"/>
  <c r="Y11" i="21"/>
  <c r="V11" i="21"/>
  <c r="S11" i="21"/>
  <c r="P11" i="21"/>
  <c r="Y10" i="21"/>
  <c r="V10" i="21"/>
  <c r="S10" i="21"/>
  <c r="P10" i="21"/>
  <c r="Y14" i="21"/>
  <c r="Y13" i="21"/>
  <c r="Y12" i="21"/>
  <c r="V14" i="21"/>
  <c r="V13" i="21"/>
  <c r="V12" i="21"/>
  <c r="S14" i="21"/>
  <c r="S13" i="21"/>
  <c r="S12" i="21"/>
  <c r="P14" i="21"/>
  <c r="P13" i="21"/>
  <c r="P12" i="21"/>
  <c r="S19" i="21" l="1"/>
  <c r="S15" i="21"/>
  <c r="P19" i="21"/>
  <c r="M21" i="21"/>
  <c r="Y15" i="21"/>
  <c r="Y20" i="21" s="1"/>
  <c r="Y21" i="21" s="1"/>
  <c r="Y19" i="21"/>
  <c r="M19" i="21"/>
  <c r="V19" i="21"/>
  <c r="P15" i="21"/>
  <c r="P20" i="21" s="1"/>
  <c r="P21" i="21" s="1"/>
  <c r="S9" i="21"/>
  <c r="V9" i="21"/>
  <c r="Y9" i="21"/>
  <c r="P9" i="21"/>
  <c r="P34" i="40"/>
  <c r="P33" i="40"/>
  <c r="P16" i="40"/>
  <c r="S20" i="21" l="1"/>
  <c r="P78" i="40"/>
  <c r="T106" i="40"/>
  <c r="S106" i="40"/>
  <c r="O106" i="40"/>
  <c r="N106" i="40"/>
  <c r="P105" i="40"/>
  <c r="P104" i="40"/>
  <c r="P101" i="40"/>
  <c r="P106" i="40" s="1"/>
  <c r="T100" i="40"/>
  <c r="T96" i="40" s="1"/>
  <c r="T95" i="40" s="1"/>
  <c r="S100" i="40"/>
  <c r="O100" i="40"/>
  <c r="N100" i="40"/>
  <c r="P99" i="40"/>
  <c r="P98" i="40"/>
  <c r="P97" i="40"/>
  <c r="T79" i="40"/>
  <c r="S79" i="40"/>
  <c r="O79" i="40"/>
  <c r="N79" i="40"/>
  <c r="P77" i="40"/>
  <c r="P74" i="40"/>
  <c r="T73" i="40"/>
  <c r="T68" i="40" s="1"/>
  <c r="T44" i="40" s="1"/>
  <c r="S73" i="40"/>
  <c r="O73" i="40"/>
  <c r="N73" i="40"/>
  <c r="P72" i="40"/>
  <c r="P71" i="40"/>
  <c r="P69" i="40"/>
  <c r="Q84" i="40" s="1"/>
  <c r="P55" i="40"/>
  <c r="P54" i="40"/>
  <c r="P53" i="40"/>
  <c r="P59" i="40" s="1"/>
  <c r="P48" i="40"/>
  <c r="P47" i="40"/>
  <c r="P46" i="40"/>
  <c r="T40" i="40"/>
  <c r="T36" i="40" s="1"/>
  <c r="T30" i="40" s="1"/>
  <c r="S40" i="40"/>
  <c r="O40" i="40"/>
  <c r="N40" i="40"/>
  <c r="P39" i="40"/>
  <c r="P38" i="40"/>
  <c r="P37" i="40"/>
  <c r="Q43" i="40" s="1"/>
  <c r="O35" i="40"/>
  <c r="N35" i="40"/>
  <c r="P32" i="40"/>
  <c r="T17" i="40"/>
  <c r="T7" i="40" s="1"/>
  <c r="S17" i="40"/>
  <c r="S7" i="40" s="1"/>
  <c r="O17" i="40"/>
  <c r="N17" i="40"/>
  <c r="P8" i="40"/>
  <c r="Y43" i="21"/>
  <c r="S43" i="21"/>
  <c r="Y40" i="21"/>
  <c r="S40" i="21"/>
  <c r="M40" i="21"/>
  <c r="Y75" i="21"/>
  <c r="Y87" i="21" s="1"/>
  <c r="V75" i="21"/>
  <c r="S75" i="21"/>
  <c r="S87" i="21" s="1"/>
  <c r="P75" i="21"/>
  <c r="P87" i="21" s="1"/>
  <c r="M75" i="21"/>
  <c r="M87" i="21" s="1"/>
  <c r="Y31" i="21"/>
  <c r="L13" i="27" s="1"/>
  <c r="V31" i="21"/>
  <c r="S31" i="21"/>
  <c r="P31" i="21"/>
  <c r="M31" i="21"/>
  <c r="E12" i="3"/>
  <c r="C11" i="3"/>
  <c r="C12" i="3" s="1"/>
  <c r="C13" i="3" s="1"/>
  <c r="J6" i="3"/>
  <c r="K6" i="3" s="1"/>
  <c r="I6" i="3"/>
  <c r="D6" i="3"/>
  <c r="P89" i="21" l="1"/>
  <c r="L10" i="27" s="1"/>
  <c r="S21" i="21"/>
  <c r="R127" i="40"/>
  <c r="Q106" i="40"/>
  <c r="P100" i="40"/>
  <c r="R94" i="40"/>
  <c r="Q67" i="40"/>
  <c r="P52" i="40"/>
  <c r="R43" i="40"/>
  <c r="Q35" i="40"/>
  <c r="R181" i="40"/>
  <c r="R29" i="40"/>
  <c r="Q17" i="40"/>
  <c r="S44" i="21"/>
  <c r="S89" i="21" s="1"/>
  <c r="L11" i="27" s="1"/>
  <c r="V44" i="21"/>
  <c r="Y44" i="21"/>
  <c r="Y73" i="21" s="1"/>
  <c r="M44" i="21"/>
  <c r="M89" i="21" s="1"/>
  <c r="L9" i="27" s="1"/>
  <c r="M73" i="21"/>
  <c r="M38" i="21"/>
  <c r="S38" i="21"/>
  <c r="P38" i="21"/>
  <c r="Y38" i="21"/>
  <c r="T6" i="40"/>
  <c r="V38" i="21"/>
  <c r="B33" i="40"/>
  <c r="B34" i="40" s="1"/>
  <c r="B38" i="40" s="1"/>
  <c r="B39" i="40" s="1"/>
  <c r="B47" i="40" s="1"/>
  <c r="B48" i="40" s="1"/>
  <c r="B54" i="40" s="1"/>
  <c r="B55" i="40" s="1"/>
  <c r="K106" i="40"/>
  <c r="K40" i="40"/>
  <c r="S6" i="40"/>
  <c r="K73" i="40"/>
  <c r="P40" i="40"/>
  <c r="P73" i="40"/>
  <c r="P35" i="40"/>
  <c r="K35" i="40"/>
  <c r="P79" i="40"/>
  <c r="K79" i="40"/>
  <c r="K17" i="40"/>
  <c r="K7" i="40" s="1"/>
  <c r="P17" i="40"/>
  <c r="F12" i="3"/>
  <c r="L12" i="27" l="1"/>
  <c r="B61" i="40"/>
  <c r="B62" i="40" s="1"/>
  <c r="S5" i="40"/>
  <c r="K6" i="40"/>
  <c r="B74" i="40" l="1"/>
  <c r="B88" i="40"/>
  <c r="T5" i="40"/>
  <c r="T180" i="40" s="1"/>
  <c r="S180" i="40"/>
  <c r="B98" i="40" l="1"/>
  <c r="B99" i="40" s="1"/>
  <c r="B101" i="40" s="1"/>
  <c r="K5" i="40"/>
  <c r="K180" i="40" s="1"/>
  <c r="K182" i="40" s="1"/>
  <c r="B9" i="66"/>
  <c r="B10" i="66" s="1"/>
  <c r="B11" i="66" s="1"/>
  <c r="B12" i="66" s="1"/>
  <c r="B13" i="66" s="1"/>
  <c r="B14" i="66" s="1"/>
  <c r="B15" i="66" s="1"/>
  <c r="B16" i="66" s="1"/>
  <c r="B19" i="66" s="1"/>
  <c r="B21" i="66" s="1"/>
  <c r="B22" i="66" s="1"/>
  <c r="B23" i="66" s="1"/>
  <c r="B24" i="66" s="1"/>
  <c r="B26" i="66" s="1"/>
  <c r="B27" i="66" s="1"/>
  <c r="B28" i="66" s="1"/>
  <c r="B32" i="66" s="1"/>
  <c r="B33" i="66" s="1"/>
  <c r="B34" i="66" s="1"/>
  <c r="B37" i="66" s="1"/>
  <c r="B38" i="66" s="1"/>
  <c r="B39" i="66" s="1"/>
  <c r="B41" i="66" s="1"/>
  <c r="B42" i="66" s="1"/>
  <c r="B44" i="66" s="1"/>
  <c r="B45" i="66" s="1"/>
  <c r="B46" i="66" s="1"/>
  <c r="B50" i="66" s="1"/>
  <c r="B51" i="66" s="1"/>
  <c r="B52" i="66" s="1"/>
  <c r="B53" i="66" s="1"/>
  <c r="B54" i="66" s="1"/>
  <c r="B55" i="66" s="1"/>
  <c r="B57" i="66" s="1"/>
  <c r="B58" i="66" s="1"/>
  <c r="B59" i="66" s="1"/>
  <c r="B60" i="66" s="1"/>
  <c r="B61" i="66" s="1"/>
  <c r="B62" i="66" s="1"/>
  <c r="B64" i="66" s="1"/>
  <c r="B65" i="66" s="1"/>
  <c r="B66" i="66" s="1"/>
  <c r="B67" i="66" s="1"/>
  <c r="B68" i="66" s="1"/>
  <c r="B69" i="66" s="1"/>
  <c r="B70" i="66" s="1"/>
  <c r="B73" i="66" s="1"/>
  <c r="B74" i="66" s="1"/>
  <c r="B75" i="66" s="1"/>
  <c r="B76" i="66" s="1"/>
  <c r="B78" i="66" s="1"/>
  <c r="B79" i="66" s="1"/>
  <c r="B80" i="66" s="1"/>
  <c r="B81" i="66" s="1"/>
  <c r="B82" i="66" s="1"/>
  <c r="B84" i="66" s="1"/>
  <c r="B85" i="66" s="1"/>
  <c r="B86" i="66" s="1"/>
  <c r="B87" i="66" s="1"/>
  <c r="B90" i="66" s="1"/>
  <c r="B91" i="66" s="1"/>
  <c r="B92" i="66" s="1"/>
  <c r="B94" i="66" s="1"/>
  <c r="B95" i="66" s="1"/>
  <c r="B96" i="66" s="1"/>
  <c r="B97" i="66" s="1"/>
  <c r="B101" i="66" s="1"/>
  <c r="B102" i="66" s="1"/>
  <c r="B103" i="66" s="1"/>
  <c r="B105" i="66" s="1"/>
  <c r="B106" i="66" s="1"/>
  <c r="B107" i="66" s="1"/>
  <c r="B108" i="66" s="1"/>
  <c r="B109" i="66" s="1"/>
  <c r="B112" i="66" s="1"/>
  <c r="B113" i="66" s="1"/>
  <c r="B114" i="66" s="1"/>
  <c r="B115" i="66" s="1"/>
  <c r="B116" i="66" s="1"/>
  <c r="B117" i="66" s="1"/>
  <c r="B118" i="66" s="1"/>
  <c r="B119" i="66" s="1"/>
  <c r="B120" i="66" s="1"/>
  <c r="B123" i="66" s="1"/>
  <c r="B124" i="66" s="1"/>
  <c r="B125" i="66" s="1"/>
  <c r="B126" i="66" s="1"/>
  <c r="B127" i="66" s="1"/>
  <c r="B128" i="66" s="1"/>
  <c r="B129" i="66" s="1"/>
  <c r="R36" i="56"/>
  <c r="R30" i="56" s="1"/>
  <c r="R5" i="56" s="1"/>
  <c r="S36" i="56"/>
  <c r="S30" i="56" s="1"/>
  <c r="S5" i="56" s="1"/>
  <c r="S165" i="56" s="1"/>
  <c r="L35"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9" authorId="0" shapeId="0" xr:uid="{00000000-0006-0000-0000-000001000000}">
      <text>
        <r>
          <rPr>
            <b/>
            <sz val="9"/>
            <rFont val="Tahoma"/>
            <family val="2"/>
          </rPr>
          <t>Author:</t>
        </r>
        <r>
          <rPr>
            <sz val="9"/>
            <rFont val="Tahoma"/>
            <family val="2"/>
          </rPr>
          <t xml:space="preserve">
DSA, communication and monitoring visits; implementing visits
For all 4 project sites and implementing partners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tc={DBF23BF4-4F05-4CBA-BF0F-E29C5C711299}</author>
    <author>tc={840BB537-47DA-41C1-9DEC-112AA3CFDC25}</author>
    <author>Prakash Tiwari</author>
    <author>Lenovo</author>
    <author>tc={A6FF7FCC-AD25-47B0-8CE0-F5F5B1BC3D40}</author>
    <author>tc={473FB6F0-A105-405B-A73F-1B4C2F64AFC6}</author>
    <author>tc={F9C202CA-E5E5-40CB-8DCE-7BBF34C4061E}</author>
    <author>tc={B57A55C8-CCEF-4288-8284-7960CC99DE67}</author>
    <author>tc={ABBD7E67-483C-4A26-A987-E69F867D88D1}</author>
    <author>Lingertat, Heike</author>
    <author>tc={680E7B7C-61D1-445B-A406-EFDB349D258A}</author>
    <author>tc={B4639A58-2712-4797-B54D-EFB1D5607211}</author>
    <author>tc={58F7F1D6-2267-4AD8-A688-5BFDFDAEF523}</author>
    <author>tc={38C53E6F-E873-468D-AD76-FB26385058AE}</author>
    <author>tc={361C836C-1DE0-47A5-89A3-46292AE59112}</author>
    <author>tc={27153E4B-9225-40EA-B19C-9609510AF9E2}</author>
    <author>tc={93878E94-BFD1-41B6-9184-B9D080B88600}</author>
    <author>tc={EDA091C6-928F-4327-BF8E-F3D3D4E35552}</author>
    <author>tc={56D0B86D-22DB-4CF0-B88A-5528A329D332}</author>
    <author>tc={316F85E9-A5BA-4C11-AB11-724984E48609}</author>
    <author>tc={E23ABBA9-1178-4C23-BDA5-EB8A420A82D9}</author>
    <author>tc={CF0712DF-BDB7-4111-BC17-339DE8DE9E29}</author>
    <author>tc={1BA29D1F-B9C3-4A52-BF92-85C999A3E33D}</author>
    <author>tc={E09E68EA-A023-4D27-9468-4E2AFBE50427}</author>
    <author>tc={08782E86-AEC5-48EF-80D0-A1CAA9EA9018}</author>
    <author>tc={F6896E20-DC66-402E-88AC-65231D7A6D9C}</author>
    <author>tc={86DE1B32-AA9B-409D-961D-15912C411B40}</author>
    <author>tc={7FC84E5E-C3E6-4C27-975B-ED8399065280}</author>
    <author>tc={16B78018-73B0-4BC6-92A2-4A2DA651E2BC}</author>
    <author>tc={A33FBA16-07DB-48BC-8AEF-15EFAC3C033C}</author>
    <author>tc={19487155-2F5A-4791-8F81-7FEA4A86E7D1}</author>
    <author>tc={1444F382-3AA2-4B85-BB35-6281EF1E9BAB}</author>
    <author>tc={B9C7EACE-D250-4146-BA20-343E2B240059}</author>
    <author>tc={0758181B-DBA0-4AD5-AA34-FEC8025BA49F}</author>
    <author>tc={5CCDB484-3EA9-4B0E-8634-A52F490A29D8}</author>
    <author>tc={25D14F3C-D899-4CB3-8537-099FDAFBE1AE}</author>
    <author>tc={D30C8ECB-5D90-4E0F-AFC4-C6E919C2CF4D}</author>
    <author>tc={EFE377A7-E1AA-4AFA-A62F-B22C76DE4143}</author>
    <author>tc={E7666760-7286-41F2-A1F3-2FC37F01CEBD}</author>
    <author>tc={9A005EEF-1F5E-46A8-A688-A0627FC557AE}</author>
    <author>tc={9BE0A5ED-817F-4BBD-B658-81AAB51538AF}</author>
  </authors>
  <commentList>
    <comment ref="O11" authorId="0" shapeId="0" xr:uid="{DBF23BF4-4F05-4CBA-BF0F-E29C5C711299}">
      <text>
        <t>[Threaded comment]
Your version of Excel allows you to read this threaded comment; however, any edits to it will get removed if the file is opened in a newer version of Excel. Learn more: https://go.microsoft.com/fwlink/?linkid=870924
Comment:
    Included new figure with outputs achieved from degrated agricutlural land reclamation with mesh-wire fencing work in BNP BZ and Karnali corridor</t>
      </text>
    </comment>
    <comment ref="N16" authorId="1" shapeId="0" xr:uid="{840BB537-47DA-41C1-9DEC-112AA3CFDC25}">
      <text>
        <t>[Threaded comment]
Your version of Excel allows you to read this threaded comment; however, any edits to it will get removed if the file is opened in a newer version of Excel. Learn more: https://go.microsoft.com/fwlink/?linkid=870924
Comment:
    Please advise here,  we included target only 10% femal participation as gov. offices in project site only have around 10% female staff
in average
Reply:
    Yes, this is correct. We will update this and discuss with GEF Sec.</t>
      </text>
    </comment>
    <comment ref="Q16" authorId="2" shapeId="0" xr:uid="{CDFECA4C-E7E9-4752-86BD-210BF551A401}">
      <text>
        <r>
          <rPr>
            <sz val="11"/>
            <color theme="1"/>
            <rFont val="Calibri"/>
            <family val="2"/>
            <scheme val="minor"/>
          </rPr>
          <t>Prakash Tiwari:
Target set as the previous year understanding</t>
        </r>
      </text>
    </comment>
    <comment ref="T16" authorId="3" shapeId="0" xr:uid="{B0463E0B-B53A-429F-9B8B-6E91265FC45E}">
      <text>
        <r>
          <rPr>
            <b/>
            <sz val="9"/>
            <color indexed="81"/>
            <rFont val="Tahoma"/>
            <family val="2"/>
          </rPr>
          <t>Lenovo:</t>
        </r>
        <r>
          <rPr>
            <sz val="9"/>
            <color indexed="81"/>
            <rFont val="Tahoma"/>
            <family val="2"/>
          </rPr>
          <t xml:space="preserve">
In an avearge, only 12% of the total government staff in project sites are female. So target set accordingly.</t>
        </r>
      </text>
    </comment>
    <comment ref="Z23" authorId="4" shapeId="0" xr:uid="{A6FF7FCC-AD25-47B0-8CE0-F5F5B1BC3D40}">
      <text>
        <t xml:space="preserve">[Threaded comment]
Your version of Excel allows you to read this threaded comment; however, any edits to it will get removed if the file is opened in a newer version of Excel. Learn more: https://go.microsoft.com/fwlink/?linkid=870924
Comment:
    Project activities will be implemented in coordination with the NBSAP preparation technical/thematic committee, primarily focusing on project intervention sites and project stakeholders. Concurrently, loose forum (e.g., province level biodiversity coordination committee) will be engaged that supports the NBSAP preparation process. Reporting will be done accordingly.
</t>
      </text>
    </comment>
    <comment ref="G27" authorId="5" shapeId="0" xr:uid="{473FB6F0-A105-405B-A73F-1B4C2F64AFC6}">
      <text>
        <t>[Threaded comment]
Your version of Excel allows you to read this threaded comment; however, any edits to it will get removed if the file is opened in a newer version of Excel. Learn more: https://go.microsoft.com/fwlink/?linkid=870924
Comment:
    311 total federal staff in 2 NP offices</t>
      </text>
    </comment>
    <comment ref="N27" authorId="6" shapeId="0" xr:uid="{F9C202CA-E5E5-40CB-8DCE-7BBF34C4061E}">
      <text>
        <t>[Threaded comment]
Your version of Excel allows you to read this threaded comment; however, any edits to it will get removed if the file is opened in a newer version of Excel. Learn more: https://go.microsoft.com/fwlink/?linkid=870924
Comment:
    Cumulative target as per prodoc</t>
      </text>
    </comment>
    <comment ref="O27" authorId="7" shapeId="0" xr:uid="{B57A55C8-CCEF-4288-8284-7960CC99DE67}">
      <text>
        <t>[Threaded comment]
Your version of Excel allows you to read this threaded comment; however, any edits to it will get removed if the file is opened in a newer version of Excel. Learn more: https://go.microsoft.com/fwlink/?linkid=870924
Comment:
    In FY 2022: BaNP 81
, BNP : 64, FY 2023, BNP : 57
Total staff from federal level in working sites are 311 (BaNP: 107, BNP: 204)</t>
      </text>
    </comment>
    <comment ref="Z27" authorId="8" shapeId="0" xr:uid="{ABBD7E67-483C-4A26-A987-E69F867D88D1}">
      <text>
        <t xml:space="preserve">[Threaded comment]
Your version of Excel allows you to read this threaded comment; however, any edits to it will get removed if the file is opened in a newer version of Excel. Learn more: https://go.microsoft.com/fwlink/?linkid=870924
Comment:
    Same as above. project activities will be implemented in coordination with the NBSAP preparation technical/thematic committee, primarily focusing on project intervention sites and project stakeholders. Concurrently, loose forum (e.g., province level biodiversity coordination committee) will be engaged that supports the NBSAP preparation process. Reporting will be done accordingly.
</t>
      </text>
    </comment>
    <comment ref="G36" authorId="9" shapeId="0" xr:uid="{B2E31E44-A216-4BD0-A046-B4323FE92435}">
      <text>
        <r>
          <rPr>
            <b/>
            <sz val="9"/>
            <color indexed="81"/>
            <rFont val="Tahoma"/>
            <family val="2"/>
          </rPr>
          <t>Lingertat, Heike:</t>
        </r>
        <r>
          <rPr>
            <sz val="9"/>
            <color indexed="81"/>
            <rFont val="Tahoma"/>
            <family val="2"/>
          </rPr>
          <t xml:space="preserve">
What number is this? Hectars?</t>
        </r>
      </text>
    </comment>
    <comment ref="Q36" authorId="9" shapeId="0" xr:uid="{2E761DED-EA8A-4BA0-9D3A-D586EE09F453}">
      <text>
        <r>
          <rPr>
            <sz val="11"/>
            <color theme="1"/>
            <rFont val="Calibri"/>
            <family val="2"/>
            <scheme val="minor"/>
          </rPr>
          <t xml:space="preserve">Lingertat, Heike:
This has to be translated into a number. Please calculate. I made the calculation for outcome 3.1 </t>
        </r>
      </text>
    </comment>
    <comment ref="R36" authorId="10" shapeId="0" xr:uid="{680E7B7C-61D1-445B-A406-EFDB349D258A}">
      <text>
        <t>[Threaded comment]
Your version of Excel allows you to read this threaded comment; however, any edits to it will get removed if the file is opened in a newer version of Excel. Learn more: https://go.microsoft.com/fwlink/?linkid=870924
Comment:
    As suggestions, 2019 Area_AM was taken as a baseline where Kamdi (5075) and Karnali (3984)</t>
      </text>
    </comment>
    <comment ref="G37" authorId="11" shapeId="0" xr:uid="{B4639A58-2712-4797-B54D-EFB1D5607211}">
      <text>
        <t>[Threaded comment]
Your version of Excel allows you to read this threaded comment; however, any edits to it will get removed if the file is opened in a newer version of Excel. Learn more: https://go.microsoft.com/fwlink/?linkid=870924
Comment:
    Same as above. Please explain under indicator what number this is.</t>
      </text>
    </comment>
    <comment ref="Q37" authorId="9" shapeId="0" xr:uid="{B45173CC-9DF2-4CCD-9635-858E39BEA65A}">
      <text>
        <r>
          <rPr>
            <b/>
            <sz val="9"/>
            <color indexed="81"/>
            <rFont val="Tahoma"/>
            <family val="2"/>
          </rPr>
          <t>Lingertat, Heike:</t>
        </r>
        <r>
          <rPr>
            <sz val="9"/>
            <color indexed="81"/>
            <rFont val="Tahoma"/>
            <family val="2"/>
          </rPr>
          <t xml:space="preserve">
Same as above </t>
        </r>
      </text>
    </comment>
    <comment ref="R37" authorId="12" shapeId="0" xr:uid="{58F7F1D6-2267-4AD8-A688-5BFDFDAEF523}">
      <text>
        <t>[Threaded comment]
Your version of Excel allows you to read this threaded comment; however, any edits to it will get removed if the file is opened in a newer version of Excel. Learn more: https://go.microsoft.com/fwlink/?linkid=870924
Comment:
    same as above</t>
      </text>
    </comment>
    <comment ref="B40" authorId="9" shapeId="0" xr:uid="{903DE48F-666A-453E-BC4A-EF936F30CA09}">
      <text>
        <r>
          <rPr>
            <b/>
            <sz val="9"/>
            <color indexed="81"/>
            <rFont val="Tahoma"/>
            <family val="2"/>
          </rPr>
          <t>Lingertat, Heike:</t>
        </r>
        <r>
          <rPr>
            <sz val="9"/>
            <color indexed="81"/>
            <rFont val="Tahoma"/>
            <family val="2"/>
          </rPr>
          <t xml:space="preserve">
I translated the percentage into the number based on the baseline number to be able to calculaye the results. Please verify that this is correct.</t>
        </r>
      </text>
    </comment>
    <comment ref="G40" authorId="13" shapeId="0" xr:uid="{38C53E6F-E873-468D-AD76-FB26385058AE}">
      <text>
        <t>[Threaded comment]
Your version of Excel allows you to read this threaded comment; however, any edits to it will get removed if the file is opened in a newer version of Excel. Learn more: https://go.microsoft.com/fwlink/?linkid=870924
Comment:
    Baseline updated from ICIMOD fire database 2021 as per recent biodiversity assessment report in 2023</t>
      </text>
    </comment>
    <comment ref="O40" authorId="14" shapeId="0" xr:uid="{361C836C-1DE0-47A5-89A3-46292AE59112}">
      <text>
        <t>[Threaded comment]
Your version of Excel allows you to read this threaded comment; however, any edits to it will get removed if the file is opened in a newer version of Excel. Learn more: https://go.microsoft.com/fwlink/?linkid=870924
Comment:
    achievement reported by DFOs and National Park offices</t>
      </text>
    </comment>
    <comment ref="P40" authorId="15" shapeId="0" xr:uid="{27153E4B-9225-40EA-B19C-9609510AF9E2}">
      <text>
        <t>[Threaded comment]
Your version of Excel allows you to read this threaded comment; however, any edits to it will get removed if the file is opened in a newer version of Excel. Learn more: https://go.microsoft.com/fwlink/?linkid=870924
Comment:
    We provided input by deleting formula as the formula does not understand number/Percentage relation</t>
      </text>
    </comment>
    <comment ref="Q40" authorId="16" shapeId="0" xr:uid="{93878E94-BFD1-41B6-9184-B9D080B88600}">
      <text>
        <t>[Threaded comment]
Your version of Excel allows you to read this threaded comment; however, any edits to it will get removed if the file is opened in a newer version of Excel. Learn more: https://go.microsoft.com/fwlink/?linkid=870924
Comment:
    Need to set target as per the new baseline</t>
      </text>
    </comment>
    <comment ref="R40" authorId="17" shapeId="0" xr:uid="{EDA091C6-928F-4327-BF8E-F3D3D4E35552}">
      <text>
        <t>[Threaded comment]
Your version of Excel allows you to read this threaded comment; however, any edits to it will get removed if the file is opened in a newer version of Excel. Learn more: https://go.microsoft.com/fwlink/?linkid=870924
Comment:
    Fire occurrence data reported by DFOs and National Park Offices using MODIS data</t>
      </text>
    </comment>
    <comment ref="T40" authorId="3" shapeId="0" xr:uid="{D3C209A3-7CCF-4AF3-88AE-66670FEDB110}">
      <text>
        <r>
          <rPr>
            <b/>
            <sz val="9"/>
            <color indexed="81"/>
            <rFont val="Tahoma"/>
            <family val="2"/>
          </rPr>
          <t>Lenovo:</t>
        </r>
        <r>
          <rPr>
            <sz val="9"/>
            <color indexed="81"/>
            <rFont val="Tahoma"/>
            <family val="2"/>
          </rPr>
          <t xml:space="preserve">
Target set based on the baseline set in 2021</t>
        </r>
      </text>
    </comment>
    <comment ref="B45" authorId="18" shapeId="0" xr:uid="{56D0B86D-22DB-4CF0-B88A-5528A329D332}">
      <text>
        <t>[Threaded comment]
Your version of Excel allows you to read this threaded comment; however, any edits to it will get removed if the file is opened in a newer version of Excel. Learn more: https://go.microsoft.com/fwlink/?linkid=870924
Comment:
    Add the baseline numbers and targets so that they can be verified.</t>
      </text>
    </comment>
    <comment ref="G45" authorId="19" shapeId="0" xr:uid="{316F85E9-A5BA-4C11-AB11-724984E48609}">
      <text>
        <t>[Threaded comment]
Your version of Excel allows you to read this threaded comment; however, any edits to it will get removed if the file is opened in a newer version of Excel. Learn more: https://go.microsoft.com/fwlink/?linkid=870924
Comment:
    Prodoc/RF information in Kamdi and Karnali</t>
      </text>
    </comment>
    <comment ref="O52" authorId="20" shapeId="0" xr:uid="{E23ABBA9-1178-4C23-BDA5-EB8A420A82D9}">
      <text>
        <t>[Threaded comment]
Your version of Excel allows you to read this threaded comment; however, any edits to it will get removed if the file is opened in a newer version of Excel. Learn more: https://go.microsoft.com/fwlink/?linkid=870924
Comment:
    Majority were IPs as project beneficiaries</t>
      </text>
    </comment>
    <comment ref="B55" authorId="21" shapeId="0" xr:uid="{CF0712DF-BDB7-4111-BC17-339DE8DE9E29}">
      <text>
        <t xml:space="preserve">[Threaded comment]
Your version of Excel allows you to read this threaded comment; however, any edits to it will get removed if the file is opened in a newer version of Excel. Learn more: https://go.microsoft.com/fwlink/?linkid=870924
Comment:
    Recommended to remove. Budget are being reallocated as per the MTR recommendations, thus, subsidy-based activities contributing indicator recommended to remove.
</t>
      </text>
    </comment>
    <comment ref="D55" authorId="22" shapeId="0" xr:uid="{1BA29D1F-B9C3-4A52-BF92-85C999A3E33D}">
      <text>
        <t xml:space="preserve">[Threaded comment]
Your version of Excel allows you to read this threaded comment; however, any edits to it will get removed if the file is opened in a newer version of Excel. Learn more: https://go.microsoft.com/fwlink/?linkid=870924
Comment:
    Recommended to remove. Budget are being reallocated as per the MTR recommendations, thus, subsidy-based activities contributing indicator recommended to remove.
</t>
      </text>
    </comment>
    <comment ref="O59" authorId="23" shapeId="0" xr:uid="{E09E68EA-A023-4D27-9468-4E2AFBE50427}">
      <text>
        <t>[Threaded comment]
Your version of Excel allows you to read this threaded comment; however, any edits to it will get removed if the file is opened in a newer version of Excel. Learn more: https://go.microsoft.com/fwlink/?linkid=870924
Comment:
    10 Female, 18 IPs and 2 Dalits (Karnali corridor records)</t>
      </text>
    </comment>
    <comment ref="G64" authorId="24" shapeId="0" xr:uid="{08782E86-AEC5-48EF-80D0-A1CAA9EA9018}">
      <text>
        <t>[Threaded comment]
Your version of Excel allows you to read this threaded comment; however, any edits to it will get removed if the file is opened in a newer version of Excel. Learn more: https://go.microsoft.com/fwlink/?linkid=870924
Comment:
    Based on data maintained by concerned gov. authorities</t>
      </text>
    </comment>
    <comment ref="P64" authorId="25" shapeId="0" xr:uid="{F6896E20-DC66-402E-88AC-65231D7A6D9C}">
      <text>
        <t>[Threaded comment]
Your version of Excel allows you to read this threaded comment; however, any edits to it will get removed if the file is opened in a newer version of Excel. Learn more: https://go.microsoft.com/fwlink/?linkid=870924
Comment:
    Why is this 0%?</t>
      </text>
    </comment>
    <comment ref="S64" authorId="26" shapeId="0" xr:uid="{86DE1B32-AA9B-409D-961D-15912C411B40}">
      <text>
        <t>[Threaded comment]
Your version of Excel allows you to read this threaded comment; however, any edits to it will get removed if the file is opened in a newer version of Excel. Learn more: https://go.microsoft.com/fwlink/?linkid=870924
Comment:
    Formula changed, as actual is greater than target then it is 0%</t>
      </text>
    </comment>
    <comment ref="B65" authorId="27" shapeId="0" xr:uid="{7FC84E5E-C3E6-4C27-975B-ED8399065280}">
      <text>
        <t>[Threaded comment]
Your version of Excel allows you to read this threaded comment; however, any edits to it will get removed if the file is opened in a newer version of Excel. Learn more: https://go.microsoft.com/fwlink/?linkid=870924
Comment:
    Recommended to remove this indicator as per the MTR recommendations. Instead of this, suggested to add the indicator “Area of cropland protected (hectares)” to enable better integration and traceability to GEF Core Indicator 4, sub indicator 4.3. 
The target is set at 2000 ha.</t>
      </text>
    </comment>
    <comment ref="G65" authorId="28" shapeId="0" xr:uid="{16B78018-73B0-4BC6-92A2-4A2DA651E2BC}">
      <text>
        <t xml:space="preserve">[Threaded comment]
Your version of Excel allows you to read this threaded comment; however, any edits to it will get removed if the file is opened in a newer version of Excel. Learn more: https://go.microsoft.com/fwlink/?linkid=870924
Comment:
    BNP+Kamdi+Karnali+BaNP
-Based on data reported by concerned authorities
-Baseline considered FY78/79 (2022)
Reply:
    Activities implemented for human-wildlife conflict mitigation that support sustainable land management (e.g., mesh wire fencing) will be reported in this indicator. </t>
      </text>
    </comment>
    <comment ref="P65" authorId="29" shapeId="0" xr:uid="{A33FBA16-07DB-48BC-8AEF-15EFAC3C033C}">
      <text>
        <t>[Threaded comment]
Your version of Excel allows you to read this threaded comment; however, any edits to it will get removed if the file is opened in a newer version of Excel. Learn more: https://go.microsoft.com/fwlink/?linkid=870924
Comment:
    target was 10% but achievement was 43.67 % decrease so it means we achieved 100%</t>
      </text>
    </comment>
    <comment ref="S65" authorId="30" shapeId="0" xr:uid="{19487155-2F5A-4791-8F81-7FEA4A86E7D1}">
      <text>
        <t>[Threaded comment]
Your version of Excel allows you to read this threaded comment; however, any edits to it will get removed if the file is opened in a newer version of Excel. Learn more: https://go.microsoft.com/fwlink/?linkid=870924
Comment:
    same as above</t>
      </text>
    </comment>
    <comment ref="T65" authorId="31" shapeId="0" xr:uid="{1444F382-3AA2-4B85-BB35-6281EF1E9BAB}">
      <text>
        <t xml:space="preserve">[Threaded comment]
Your version of Excel allows you to read this threaded comment; however, any edits to it will get removed if the file is opened in a newer version of Excel. Learn more: https://go.microsoft.com/fwlink/?linkid=870924
Comment:
    Target was set to enable better integration and traceability 
to GEF Core Indicator 4, sub-indicator 4.3. </t>
      </text>
    </comment>
    <comment ref="G66" authorId="32" shapeId="0" xr:uid="{B9C7EACE-D250-4146-BA20-343E2B240059}">
      <text>
        <t xml:space="preserve">[Threaded comment]
Your version of Excel allows you to read this threaded comment; however, any edits to it will get removed if the file is opened in a newer version of Excel. Learn more: https://go.microsoft.com/fwlink/?linkid=870924
Comment:
    Data managed by NP offices and DF offices from previous year </t>
      </text>
    </comment>
    <comment ref="S66" authorId="33" shapeId="0" xr:uid="{0758181B-DBA0-4AD5-AA34-FEC8025BA49F}">
      <text>
        <t>[Threaded comment]
Your version of Excel allows you to read this threaded comment; however, any edits to it will get removed if the file is opened in a newer version of Excel. Learn more: https://go.microsoft.com/fwlink/?linkid=870924
Comment:
    same as above</t>
      </text>
    </comment>
    <comment ref="S67" authorId="34" shapeId="0" xr:uid="{5CCDB484-3EA9-4B0E-8634-A52F490A29D8}">
      <text>
        <t>[Threaded comment]
Your version of Excel allows you to read this threaded comment; however, any edits to it will get removed if the file is opened in a newer version of Excel. Learn more: https://go.microsoft.com/fwlink/?linkid=870924
Comment:
    same as above</t>
      </text>
    </comment>
    <comment ref="S69" authorId="35" shapeId="0" xr:uid="{25D14F3C-D899-4CB3-8537-099FDAFBE1AE}">
      <text>
        <t>[Threaded comment]
Your version of Excel allows you to read this threaded comment; however, any edits to it will get removed if the file is opened in a newer version of Excel. Learn more: https://go.microsoft.com/fwlink/?linkid=870924
Comment:
    If the actual is zero then its 100%, Formula set accordingly</t>
      </text>
    </comment>
    <comment ref="N75" authorId="36" shapeId="0" xr:uid="{D30C8ECB-5D90-4E0F-AFC4-C6E919C2CF4D}">
      <text>
        <t>[Threaded comment]
Your version of Excel allows you to read this threaded comment; however, any edits to it will get removed if the file is opened in a newer version of Excel. Learn more: https://go.microsoft.com/fwlink/?linkid=870924
Comment:
    in project document it says 100 is target for year 2</t>
      </text>
    </comment>
    <comment ref="R75" authorId="37" shapeId="0" xr:uid="{EFE377A7-E1AA-4AFA-A62F-B22C76DE4143}">
      <text>
        <t>[Threaded comment]
Your version of Excel allows you to read this threaded comment; however, any edits to it will get removed if the file is opened in a newer version of Excel. Learn more: https://go.microsoft.com/fwlink/?linkid=870924
Comment:
    Need to add stakeholder number instead of gender.</t>
      </text>
    </comment>
    <comment ref="F80" authorId="38" shapeId="0" xr:uid="{E7666760-7286-41F2-A1F3-2FC37F01CEBD}">
      <text>
        <t>[Threaded comment]
Your version of Excel allows you to read this threaded comment; however, any edits to it will get removed if the file is opened in a newer version of Excel. Learn more: https://go.microsoft.com/fwlink/?linkid=870924
Comment:
    Participants' gender</t>
      </text>
    </comment>
    <comment ref="B82" authorId="39" shapeId="0" xr:uid="{9A005EEF-1F5E-46A8-A688-A0627FC557AE}">
      <text>
        <t>[Threaded comment]
Your version of Excel allows you to read this threaded comment; however, any edits to it will get removed if the file is opened in a newer version of Excel. Learn more: https://go.microsoft.com/fwlink/?linkid=870924
Comment:
    For measuring the effectiveness of capacity building and mass awareness initiatives it is recommended to include indicator under Outcome 4.1.</t>
      </text>
    </comment>
    <comment ref="T82" authorId="40" shapeId="0" xr:uid="{9BE0A5ED-817F-4BBD-B658-81AAB51538AF}">
      <text>
        <t>[Threaded comment]
Your version of Excel allows you to read this threaded comment; however, any edits to it will get removed if the file is opened in a newer version of Excel. Learn more: https://go.microsoft.com/fwlink/?linkid=870924
Comment:
    Baseline was set based on the KAP survey report. Aggregated value of Knowledge, Attitude, Practice score.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Narayan K.C.</author>
    <author>Author</author>
  </authors>
  <commentList>
    <comment ref="Y185" authorId="0" shapeId="0" xr:uid="{98D9D056-1E7A-48BE-AF5F-507F8D164AF7}">
      <text>
        <r>
          <rPr>
            <b/>
            <sz val="9"/>
            <color indexed="81"/>
            <rFont val="Tahoma"/>
            <family val="2"/>
          </rPr>
          <t>Narayan K.C.:</t>
        </r>
        <r>
          <rPr>
            <sz val="9"/>
            <color indexed="81"/>
            <rFont val="Tahoma"/>
            <family val="2"/>
          </rPr>
          <t xml:space="preserve">
liNE Ministry Budget Informaiton System</t>
        </r>
      </text>
    </comment>
    <comment ref="AI193" authorId="1" shapeId="0" xr:uid="{5709FD84-9139-4F2E-8325-E38389F274D7}">
      <text>
        <r>
          <rPr>
            <b/>
            <sz val="9"/>
            <color indexed="81"/>
            <rFont val="Tahoma"/>
            <family val="2"/>
          </rPr>
          <t>Author:</t>
        </r>
        <r>
          <rPr>
            <sz val="9"/>
            <color indexed="81"/>
            <rFont val="Tahoma"/>
            <family val="2"/>
          </rPr>
          <t xml:space="preserve">
120,000/Fulltime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Narayan K.C.</author>
    <author>Author</author>
  </authors>
  <commentList>
    <comment ref="Y185" authorId="0" shapeId="0" xr:uid="{362C22B6-5AF7-49C1-ACB6-91CC9129EBB8}">
      <text>
        <r>
          <rPr>
            <b/>
            <sz val="9"/>
            <color indexed="81"/>
            <rFont val="Tahoma"/>
            <family val="2"/>
          </rPr>
          <t>Narayan K.C.:</t>
        </r>
        <r>
          <rPr>
            <sz val="9"/>
            <color indexed="81"/>
            <rFont val="Tahoma"/>
            <family val="2"/>
          </rPr>
          <t xml:space="preserve">
liNE Ministry Budget Informaiton System</t>
        </r>
      </text>
    </comment>
    <comment ref="AI193" authorId="1" shapeId="0" xr:uid="{B4D00DFA-CD89-46CA-9063-E43A9B9FBC88}">
      <text>
        <r>
          <rPr>
            <b/>
            <sz val="9"/>
            <color indexed="81"/>
            <rFont val="Tahoma"/>
            <family val="2"/>
          </rPr>
          <t>Author:</t>
        </r>
        <r>
          <rPr>
            <sz val="9"/>
            <color indexed="81"/>
            <rFont val="Tahoma"/>
            <family val="2"/>
          </rPr>
          <t xml:space="preserve">
120,000/Fulltime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tc={F1D8AD92-3AB3-43CF-9175-2C7D028F02FE}</author>
    <author>tc={A69E422A-CBDD-412B-9DB4-FB6EBFB1D581}</author>
    <author>tc={086FAA0E-B31E-4B0B-90FD-065DE86AECF9}</author>
    <author>Narayan K.C.</author>
    <author>Author</author>
  </authors>
  <commentList>
    <comment ref="J19" authorId="0" shapeId="0" xr:uid="{F1D8AD92-3AB3-43CF-9175-2C7D028F02FE}">
      <text>
        <t>[Threaded comment]
Your version of Excel allows you to read this threaded comment; however, any edits to it will get removed if the file is opened in a newer version of Excel. Learn more: https://go.microsoft.com/fwlink/?linkid=870924
Comment:
    input was wrong ealier it was 1000</t>
      </text>
    </comment>
    <comment ref="M25" authorId="1" shapeId="0" xr:uid="{A69E422A-CBDD-412B-9DB4-FB6EBFB1D581}">
      <text>
        <t>[Threaded comment]
Your version of Excel allows you to read this threaded comment; however, any edits to it will get removed if the file is opened in a newer version of Excel. Learn more: https://go.microsoft.com/fwlink/?linkid=870924
Comment:
    this does not applicable in IP rating</t>
      </text>
    </comment>
    <comment ref="O33" authorId="2" shapeId="0" xr:uid="{086FAA0E-B31E-4B0B-90FD-065DE86AECF9}">
      <text>
        <t>[Threaded comment]
Your version of Excel allows you to read this threaded comment; however, any edits to it will get removed if the file is opened in a newer version of Excel. Learn more: https://go.microsoft.com/fwlink/?linkid=870924
Comment:
    this activity was not in approved AWP&amp;B</t>
      </text>
    </comment>
    <comment ref="X170" authorId="3" shapeId="0" xr:uid="{E154CEA7-8CB8-482A-8FA7-E8908BD325BF}">
      <text>
        <r>
          <rPr>
            <b/>
            <sz val="9"/>
            <color indexed="81"/>
            <rFont val="Tahoma"/>
            <family val="2"/>
          </rPr>
          <t>Narayan K.C.:</t>
        </r>
        <r>
          <rPr>
            <sz val="9"/>
            <color indexed="81"/>
            <rFont val="Tahoma"/>
            <family val="2"/>
          </rPr>
          <t xml:space="preserve">
liNE Ministry Budget Informaiton System</t>
        </r>
      </text>
    </comment>
    <comment ref="AH178" authorId="4" shapeId="0" xr:uid="{23780FEB-3F1C-4517-81AC-2A4DF339106B}">
      <text>
        <r>
          <rPr>
            <b/>
            <sz val="9"/>
            <color indexed="81"/>
            <rFont val="Tahoma"/>
            <family val="2"/>
          </rPr>
          <t>Author:</t>
        </r>
        <r>
          <rPr>
            <sz val="9"/>
            <color indexed="81"/>
            <rFont val="Tahoma"/>
            <family val="2"/>
          </rPr>
          <t xml:space="preserve">
120,000/Fulltime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tc={5F895DFF-B486-4BBE-926A-D8C7ECF12932}</author>
    <author>tc={84825F25-F460-48E3-8044-270438231E1A}</author>
    <author>tc={8BD9961E-A840-4559-845F-68F9942B4206}</author>
    <author>Author</author>
  </authors>
  <commentList>
    <comment ref="K8" authorId="0" shapeId="0" xr:uid="{5F895DFF-B486-4BBE-926A-D8C7ECF12932}">
      <text>
        <t>[Threaded comment]
Your version of Excel allows you to read this threaded comment; however, any edits to it will get removed if the file is opened in a newer version of Excel. Learn more: https://go.microsoft.com/fwlink/?linkid=870924
Comment:
    Support is not a unit description. What is the support concretely?</t>
      </text>
    </comment>
    <comment ref="A44" authorId="1" shapeId="0" xr:uid="{84825F25-F460-48E3-8044-270438231E1A}">
      <text>
        <t>[Threaded comment]
Your version of Excel allows you to read this threaded comment; however, any edits to it will get removed if the file is opened in a newer version of Excel. Learn more: https://go.microsoft.com/fwlink/?linkid=870924
Comment:
    New Outcome</t>
      </text>
    </comment>
    <comment ref="C140" authorId="2" shapeId="0" xr:uid="{8BD9961E-A840-4559-845F-68F9942B4206}">
      <text>
        <t>[Threaded comment]
Your version of Excel allows you to read this threaded comment; however, any edits to it will get removed if the file is opened in a newer version of Excel. Learn more: https://go.microsoft.com/fwlink/?linkid=870924
Comment:
    Suggest putting these cost under a component</t>
      </text>
    </comment>
    <comment ref="AG184" authorId="3" shapeId="0" xr:uid="{62BAD726-ECE1-49BC-9BD5-F6DE0471138B}">
      <text>
        <r>
          <rPr>
            <b/>
            <sz val="9"/>
            <color indexed="81"/>
            <rFont val="Tahoma"/>
            <family val="2"/>
          </rPr>
          <t>Author:</t>
        </r>
        <r>
          <rPr>
            <sz val="9"/>
            <color indexed="81"/>
            <rFont val="Tahoma"/>
            <family val="2"/>
          </rPr>
          <t xml:space="preserve">
120,000/Fulltime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McKeehan, Adrienne</author>
    <author>tc={12452EEE-1EF4-4D68-BF0B-BF5BEFE43796}</author>
    <author>Lenovo</author>
    <author>tc={8A8F23A6-637B-431A-A2EA-4F0418EF2D4D}</author>
  </authors>
  <commentList>
    <comment ref="C18" authorId="0" shapeId="0" xr:uid="{AB93D1D2-2895-47D5-81F2-2CCAD8DFA97A}">
      <text>
        <r>
          <rPr>
            <sz val="11"/>
            <color theme="1"/>
            <rFont val="Calibri"/>
            <family val="2"/>
            <scheme val="minor"/>
          </rPr>
          <t>McKeehan, Adrienne:
Best practice training on what subject? 
Best practice on cross-sector landscape and forest planning/management (outcome 1.2)</t>
        </r>
      </text>
    </comment>
    <comment ref="C25" authorId="0" shapeId="0" xr:uid="{3010F173-26DA-4B3C-831E-FD9564E6934A}">
      <text>
        <r>
          <rPr>
            <sz val="11"/>
            <color theme="1"/>
            <rFont val="Calibri"/>
            <family val="2"/>
            <scheme val="minor"/>
          </rPr>
          <t>McKeehan, Adrienne:
How is the grant process designed, and who do you invite to submit proposals? Is this process gender-inclusive, and what efforts are made to ensure that it is fair and transparent?
PMU: Grantee selection criteria is approved by PEC and published in project website as mandated by approved project document section 2.2
PMU invite proposals through public announcements to all perspective university students
PMU follows the approved criteria to make the process fair and transparent
In year 2, 10 girls were awarded with thesis grant out of 17</t>
        </r>
      </text>
    </comment>
    <comment ref="A43" authorId="1" shapeId="0" xr:uid="{12452EEE-1EF4-4D68-BF0B-BF5BEFE43796}">
      <text>
        <t>[Threaded comment]
Your version of Excel allows you to read this threaded comment; however, any edits to it will get removed if the file is opened in a newer version of Excel. Learn more: https://go.microsoft.com/fwlink/?linkid=870924
Comment:
    New Outcome</t>
      </text>
    </comment>
    <comment ref="M55" authorId="2" shapeId="0" xr:uid="{B54ED3D4-5A0E-43D6-BF12-8FED9B2C8808}">
      <text>
        <r>
          <rPr>
            <b/>
            <sz val="9"/>
            <color indexed="81"/>
            <rFont val="Tahoma"/>
            <family val="2"/>
          </rPr>
          <t>Lenovo:</t>
        </r>
        <r>
          <rPr>
            <sz val="9"/>
            <color indexed="81"/>
            <rFont val="Tahoma"/>
            <family val="2"/>
          </rPr>
          <t xml:space="preserve">
5-Nursery Sites/Seedling Production
4- Restoration Sites</t>
        </r>
      </text>
    </comment>
    <comment ref="M65" authorId="2" shapeId="0" xr:uid="{CA631E55-B013-4D73-B224-EF2B5E6A555E}">
      <text>
        <r>
          <rPr>
            <b/>
            <sz val="9"/>
            <color indexed="81"/>
            <rFont val="Tahoma"/>
            <family val="2"/>
          </rPr>
          <t>Lenovo:</t>
        </r>
        <r>
          <rPr>
            <sz val="9"/>
            <color indexed="81"/>
            <rFont val="Tahoma"/>
            <family val="2"/>
          </rPr>
          <t xml:space="preserve">
Improved Shed Construction: 626 HHs
Fodder Distribution: 1317 HHs</t>
        </r>
      </text>
    </comment>
    <comment ref="C123" authorId="0" shapeId="0" xr:uid="{3AE4527E-3F7A-4333-B3AC-65C617FDB169}">
      <text>
        <r>
          <rPr>
            <sz val="11"/>
            <color theme="1"/>
            <rFont val="Calibri"/>
            <family val="2"/>
            <scheme val="minor"/>
          </rPr>
          <t>McKeehan, Adrienne:
Note that when documenting Traditional Knowledge, you must get the consent of the community/people that the knowledge comes from. This includes making it clear to them how this will be shared and who will have access to it. 
Very good suggestions, we will fully follow your suggestions while implementing</t>
        </r>
      </text>
    </comment>
    <comment ref="C140" authorId="3" shapeId="0" xr:uid="{8A8F23A6-637B-431A-A2EA-4F0418EF2D4D}">
      <text>
        <t>[Threaded comment]
Your version of Excel allows you to read this threaded comment; however, any edits to it will get removed if the file is opened in a newer version of Excel. Learn more: https://go.microsoft.com/fwlink/?linkid=870924
Comment:
    Suggest putting these cost under a component
Reply:
    we follow approved project document and placed here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tc={BBDC48DC-DC7A-4ACC-971B-F77A410B8C22}</author>
    <author>tc={A070E020-3277-4A21-96F0-3BFD65AC617E}</author>
    <author>tc={96720920-DCF7-4559-8101-C168AB4944F9}</author>
  </authors>
  <commentList>
    <comment ref="A44" authorId="0" shapeId="0" xr:uid="{BBDC48DC-DC7A-4ACC-971B-F77A410B8C22}">
      <text>
        <t>[Threaded comment]
Your version of Excel allows you to read this threaded comment; however, any edits to it will get removed if the file is opened in a newer version of Excel. Learn more: https://go.microsoft.com/fwlink/?linkid=870924
Comment:
    New Outcome</t>
      </text>
    </comment>
    <comment ref="C140" authorId="1" shapeId="0" xr:uid="{A070E020-3277-4A21-96F0-3BFD65AC617E}">
      <text>
        <t>[Threaded comment]
Your version of Excel allows you to read this threaded comment; however, any edits to it will get removed if the file is opened in a newer version of Excel. Learn more: https://go.microsoft.com/fwlink/?linkid=870924
Comment:
    Suggest putting these cost under a component</t>
      </text>
    </comment>
    <comment ref="G170" authorId="2" shapeId="0" xr:uid="{96720920-DCF7-4559-8101-C168AB4944F9}">
      <text>
        <t>[Threaded comment]
Your version of Excel allows you to read this threaded comment; however, any edits to it will get removed if the file is opened in a newer version of Excel. Learn more: https://go.microsoft.com/fwlink/?linkid=870924
Comment:
    @Heike - in cell I170 the amount should be 285000 US $. Please edit,It is protected cell so we could not edit, thanks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<sst xmlns="http://schemas.openxmlformats.org/spreadsheetml/2006/main" count="7636" uniqueCount="1256">
  <si>
    <t>Sustainable Land Management in Churia Region Nepal (GEF funded)</t>
  </si>
  <si>
    <t>Year 1 (CY14)</t>
  </si>
  <si>
    <t>Year 2 (CY15)</t>
  </si>
  <si>
    <t>Year 3 (CY16)</t>
  </si>
  <si>
    <t>Total</t>
  </si>
  <si>
    <t>Budget</t>
  </si>
  <si>
    <t>Expense</t>
  </si>
  <si>
    <t>Spending %</t>
  </si>
  <si>
    <t>Expenses</t>
  </si>
  <si>
    <t>Savings from 2014</t>
  </si>
  <si>
    <t>Exp Jun-Dec</t>
  </si>
  <si>
    <t>Exp Jan-Jun</t>
  </si>
  <si>
    <t>exp reported to HQ</t>
  </si>
  <si>
    <t>grant and consultancy obligation</t>
  </si>
  <si>
    <t>Savings</t>
  </si>
  <si>
    <t>2015 Budget</t>
  </si>
  <si>
    <t>Activities transferred to 2015 from 2014</t>
  </si>
  <si>
    <t>Obligation Deductable - Grants</t>
  </si>
  <si>
    <t>WT47</t>
  </si>
  <si>
    <t>WT81</t>
  </si>
  <si>
    <t>WT82</t>
  </si>
  <si>
    <t>WT83</t>
  </si>
  <si>
    <t>WU22</t>
  </si>
  <si>
    <t>2206/07</t>
  </si>
  <si>
    <t>Obligation Deductable - Consultancy</t>
  </si>
  <si>
    <t>WU62</t>
  </si>
  <si>
    <t>WV81</t>
  </si>
  <si>
    <t>Total of grants and consultancy</t>
  </si>
  <si>
    <t>reconciled</t>
  </si>
  <si>
    <t>Guidance</t>
  </si>
  <si>
    <r>
      <rPr>
        <b/>
        <sz val="11"/>
        <color indexed="8"/>
        <rFont val="Calibri"/>
        <family val="2"/>
      </rPr>
      <t xml:space="preserve">This template serves two functions:
</t>
    </r>
    <r>
      <rPr>
        <sz val="11"/>
        <color theme="1"/>
        <rFont val="Calibri"/>
        <family val="2"/>
        <scheme val="minor"/>
      </rPr>
      <t xml:space="preserve">
1) </t>
    </r>
    <r>
      <rPr>
        <u/>
        <sz val="11"/>
        <color indexed="8"/>
        <rFont val="Calibri"/>
        <family val="2"/>
      </rPr>
      <t>Template</t>
    </r>
    <r>
      <rPr>
        <sz val="11"/>
        <color theme="1"/>
        <rFont val="Calibri"/>
        <family val="2"/>
        <scheme val="minor"/>
      </rPr>
      <t xml:space="preserve"> for drafting the Annual Work Plan and Budget (AWP&amp;B), based on the full project workplan. The purpose of the AWP&amp;B is to ensure that activities planned for the project year will be successful at meeting the Results Framework targets, and are budgeted correctly.
2) </t>
    </r>
    <r>
      <rPr>
        <u/>
        <sz val="11"/>
        <color indexed="8"/>
        <rFont val="Calibri"/>
        <family val="2"/>
      </rPr>
      <t>Tracking progress</t>
    </r>
    <r>
      <rPr>
        <sz val="11"/>
        <color theme="1"/>
        <rFont val="Calibri"/>
        <family val="2"/>
        <scheme val="minor"/>
      </rPr>
      <t xml:space="preserve"> against the Work Plan and Budget and the Results Framework (RF). Formulas are built into the AWP&amp;B and Results Framework tabs to support tracking, and this is based on an average achievement of all activities/RF targets. Progress is rated annually in the Project Progress Report – the Implementation Progress Rating corresponds to AWP&amp;B achievement, while the Development Objective Rating corresponds to achievement against the RF.</t>
    </r>
    <r>
      <rPr>
        <sz val="11"/>
        <color theme="1"/>
        <rFont val="Calibri"/>
        <family val="2"/>
        <scheme val="minor"/>
      </rPr>
      <t xml:space="preserve"> One should not have over 100% achievement even if the target was exceeded. </t>
    </r>
  </si>
  <si>
    <r>
      <rPr>
        <b/>
        <sz val="11"/>
        <color indexed="8"/>
        <rFont val="Calibri"/>
        <family val="2"/>
      </rPr>
      <t>Drafting the Annual Work Plan and Budget</t>
    </r>
    <r>
      <rPr>
        <sz val="11"/>
        <color theme="1"/>
        <rFont val="Calibri"/>
        <family val="2"/>
        <scheme val="minor"/>
      </rPr>
      <t xml:space="preserve">
</t>
    </r>
    <r>
      <rPr>
        <u/>
        <sz val="11"/>
        <color indexed="8"/>
        <rFont val="Calibri"/>
        <family val="2"/>
      </rPr>
      <t>Output tracking</t>
    </r>
    <r>
      <rPr>
        <sz val="11"/>
        <color theme="1"/>
        <rFont val="Calibri"/>
        <family val="2"/>
        <scheme val="minor"/>
      </rPr>
      <t xml:space="preserve"> (light orange row in AWP&amp;B tab): Achievement of each output should be monitored over the lifetime of the project. If the activities underneath the output provide sufficient information on whether or not an output was achieved, no separate output target/indicator is required. Only include a target if the output is expected to be achieved for the given project year. 
</t>
    </r>
    <r>
      <rPr>
        <u/>
        <sz val="11"/>
        <color indexed="8"/>
        <rFont val="Calibri"/>
        <family val="2"/>
      </rPr>
      <t>Activities</t>
    </r>
    <r>
      <rPr>
        <sz val="11"/>
        <color theme="1"/>
        <rFont val="Calibri"/>
        <family val="2"/>
        <scheme val="minor"/>
      </rPr>
      <t xml:space="preserve">: Activities should be developed based on the ProDoc and what is needed to meet the Results Framework targets. Include relevant activities related to  the Gender Action Plan and Stakeholder Engagement Plan. Please ensure alignment with the overall project workplan and ensure that the activities are relevant towards achieving the outputs. The outputs then should be relevant to achieving the results in the Results Framework.
</t>
    </r>
    <r>
      <rPr>
        <u/>
        <sz val="11"/>
        <color indexed="8"/>
        <rFont val="Calibri"/>
        <family val="2"/>
      </rPr>
      <t>Targets/Units</t>
    </r>
    <r>
      <rPr>
        <sz val="11"/>
        <color theme="1"/>
        <rFont val="Calibri"/>
        <family val="2"/>
        <scheme val="minor"/>
      </rPr>
      <t xml:space="preserve">: Targets should always be numerical. The unit being measured should be included (e.g. # of meetings). 
</t>
    </r>
    <r>
      <rPr>
        <u/>
        <sz val="11"/>
        <color indexed="8"/>
        <rFont val="Calibri"/>
        <family val="2"/>
      </rPr>
      <t>Work plan (timing)</t>
    </r>
    <r>
      <rPr>
        <sz val="11"/>
        <color theme="1"/>
        <rFont val="Calibri"/>
        <family val="2"/>
        <scheme val="minor"/>
      </rPr>
      <t xml:space="preserve">: The time dedicated to a given activity should be noted by project quarter (or, if the team prefers, by month). 
</t>
    </r>
    <r>
      <rPr>
        <u/>
        <sz val="11"/>
        <color indexed="8"/>
        <rFont val="Calibri"/>
        <family val="2"/>
      </rPr>
      <t>Budget</t>
    </r>
    <r>
      <rPr>
        <sz val="11"/>
        <color theme="1"/>
        <rFont val="Calibri"/>
        <family val="2"/>
        <scheme val="minor"/>
      </rPr>
      <t xml:space="preserve">: The budget can be provided by output or activity, and should be based off of the submitted and approved detailed budget. At the end of the year, budget spent v. activities planned and achieved can be assessed to show variance and alignment in spending and implementation. Budget variances of 5% or more at the total component level (as approved in ProDoc) needs to be approved by the WWF GEF Agency.  Project Management Costs (PMC) cannot go over the total amount approved by GEF. </t>
    </r>
  </si>
  <si>
    <r>
      <t xml:space="preserve">Tracking during Implementation
</t>
    </r>
    <r>
      <rPr>
        <sz val="11"/>
        <color rgb="FF000000"/>
        <rFont val="Calibri"/>
        <family val="2"/>
      </rPr>
      <t>In the AWP&amp;B, progress can be tracked at the end of each project year under the columns labeled “Work Plan Tracking (Column M-P).” In the Results Framework, please track progress against targets in columns "actual" and "% achieved" for each year reported. Note that formulas will need to be adjusted if columns or rows have been added to this template.
IP Rating: The project Implementation Progress (IP) rating is determined by averaging the achievement of all activities together in the workplan, rather than taking the average of component averages. Note that even if the project has exceeded an intended target associated with an activity (&gt;100%), the rating will have to be manually adjusted to 100% to not skew the average. If there is a gender target in addition to a total target, both will contribute equally to the level of acheivement. 
DO Rating: The project Development Objective (DO) rating is determined by averaging the percent achievement of all indicators in the RF. Please note that some indicators have multiple measurements per indicator (e.g. 1 platform established with 200 registered users and 100 KM products) and it is recommended to average the achievement of all measurements taken per indicator (E.g. 1 platform, 100 users and 20 KM products would be 100% + 50% + 20% = 56%). The same would apply for a gender target.
The snapshot tab will show a summary of progress again the AWP&amp;B and RF over the life of the project.</t>
    </r>
  </si>
  <si>
    <r>
      <rPr>
        <b/>
        <sz val="11"/>
        <color rgb="FF000000"/>
        <rFont val="Calibri"/>
        <family val="2"/>
      </rPr>
      <t>Full Project Workplan</t>
    </r>
    <r>
      <rPr>
        <sz val="11"/>
        <color theme="1"/>
        <rFont val="Calibri"/>
        <family val="2"/>
        <scheme val="minor"/>
      </rPr>
      <t xml:space="preserve">
The annual workplan activities and targets should align with the full project workplan, so please ensure that targets are cumulative through the end of the project and that the full suite of activities are represented. The template may need to be adjusted.</t>
    </r>
  </si>
  <si>
    <r>
      <rPr>
        <b/>
        <sz val="11"/>
        <color rgb="FF000000"/>
        <rFont val="Calibri"/>
        <family val="2"/>
      </rPr>
      <t>Additional Notes</t>
    </r>
    <r>
      <rPr>
        <sz val="11"/>
        <color theme="1"/>
        <rFont val="Calibri"/>
        <family val="2"/>
        <scheme val="minor"/>
      </rPr>
      <t xml:space="preserve">
This completed spreadsheet will be submitted for approval of the AWP&amp;B for planning purposes. Once the tracking aspects of the AWP&amp;B and RF are completed, it will also be submitted and annexed to the annual Project Progress Report for reporting purposes.
This template was designed for six years and five components, but please adjust this template to fit the realities of this project by inserting additional rows or columns. Please note that there are forumulas already input into the template that will need to be adjusted if you do add rows or columns.  The password is Heike to unlock the sheet to input the formulas.</t>
    </r>
  </si>
  <si>
    <t>Project: 9437-Integrated Landscape Management to Secure Nepal’s PAs and Critical Corridors</t>
  </si>
  <si>
    <t>SNAPSHOT</t>
  </si>
  <si>
    <t>Annual Work Plan Activity Tracking: Summary</t>
  </si>
  <si>
    <t>Results Framework Tracking: Summary</t>
  </si>
  <si>
    <t>% achievement</t>
  </si>
  <si>
    <t>Year</t>
  </si>
  <si>
    <t xml:space="preserve">% average achievement </t>
  </si>
  <si>
    <t>Component</t>
  </si>
  <si>
    <t>Y1</t>
  </si>
  <si>
    <t>Y2</t>
  </si>
  <si>
    <t>Y3</t>
  </si>
  <si>
    <t>Y4</t>
  </si>
  <si>
    <t>Y5</t>
  </si>
  <si>
    <t>Y6</t>
  </si>
  <si>
    <t>Component 1</t>
  </si>
  <si>
    <t>N/A</t>
  </si>
  <si>
    <t>Component 2</t>
  </si>
  <si>
    <t>Component 3</t>
  </si>
  <si>
    <t>Component 4</t>
  </si>
  <si>
    <t>Average Activities</t>
  </si>
  <si>
    <t>RESULTS MEASUREMENT FRAMEWORK</t>
  </si>
  <si>
    <t>OUTCOME</t>
  </si>
  <si>
    <t>INDICATOR</t>
  </si>
  <si>
    <t>DEFINITION</t>
  </si>
  <si>
    <t>METHOD</t>
  </si>
  <si>
    <t>WHO</t>
  </si>
  <si>
    <t>DISSAGREGATION</t>
  </si>
  <si>
    <t>BASELINE</t>
  </si>
  <si>
    <t>YR1 July 1, 2020 - June 30, 2021</t>
  </si>
  <si>
    <t>YR2 July 1, 2021 - June 30, 2022</t>
  </si>
  <si>
    <t>YR3 (July 1, 2022 - June 30, 2023)</t>
  </si>
  <si>
    <t>YR4 (July 1, 2023 - June 30,2024)</t>
  </si>
  <si>
    <t>YR5 (July 1, 2024 - June 30, 2025)</t>
  </si>
  <si>
    <t>YR6 (July 1, 2025 - June 30, 2026)</t>
  </si>
  <si>
    <t>Assumption</t>
  </si>
  <si>
    <t>Target</t>
  </si>
  <si>
    <t>Actual</t>
  </si>
  <si>
    <t>% achieved</t>
  </si>
  <si>
    <t>Project Objective: To promote integrated landscape management to conserve globally significant forests and wildlife</t>
  </si>
  <si>
    <t>Global Environmental Benefits</t>
  </si>
  <si>
    <t>Core Indicator 3. Area of land and ecosystems under restoration in hectar</t>
  </si>
  <si>
    <t>Cumulative in hectar
This indicator captures the area of forest and forest land that is undergoing ecological restoration through GEF-funded interventions. The intent is to capture the area in which best practices for ecological restoration are being applied.
Measured as hectares undergoing restoration through direct intervention in project intervention areas in targeted TAL buffer zones and corridors</t>
  </si>
  <si>
    <t>Map/monitor extent of the degraded land being restored and also to indicate the relative state of the area prior to GEF activities.</t>
  </si>
  <si>
    <t>PMU</t>
  </si>
  <si>
    <t>Drought and forest fires do not adversely impact habitat restoration outcomes. 
Through C3 intervention. Break down figures by target area units: BNP BZ, BaNP BZ, Kamdi and Karnali Corridors
May require GIS support</t>
  </si>
  <si>
    <r>
      <t xml:space="preserve">Sub-Indicator 3. 1. </t>
    </r>
    <r>
      <rPr>
        <sz val="11"/>
        <rFont val="Calibri"/>
        <family val="2"/>
      </rPr>
      <t>Area of degraded agricultural lands under restoration</t>
    </r>
  </si>
  <si>
    <t>GEF Sub-indicator 3.1: Area of degraded agricultural lands restored (ha)</t>
  </si>
  <si>
    <r>
      <t xml:space="preserve">Sub-Indicator 3. 2. </t>
    </r>
    <r>
      <rPr>
        <sz val="11"/>
        <rFont val="Calibri"/>
        <family val="2"/>
      </rPr>
      <t>Area of forest and forest land under restoration</t>
    </r>
  </si>
  <si>
    <t>GIS land cover / habitat classification maps for target areas to calculate baseline and restored areas</t>
  </si>
  <si>
    <t xml:space="preserve">GEF Sub-indicator 3.2: Area of forest and forest land restored (ha)
</t>
  </si>
  <si>
    <r>
      <t xml:space="preserve"> Sub-Indicator 3. 3. </t>
    </r>
    <r>
      <rPr>
        <sz val="11"/>
        <rFont val="Calibri"/>
        <family val="2"/>
      </rPr>
      <t>Area of natural grass and woodlands under restoration</t>
    </r>
  </si>
  <si>
    <t>see above</t>
  </si>
  <si>
    <t>GEF Sub-indicator 3.3: Area of natural grass and shrublands restored (ha)</t>
  </si>
  <si>
    <t>Core Indicator 4: Area of landscapes under improved practices (hectares; excluding protected areas)</t>
  </si>
  <si>
    <t xml:space="preserve">Cumulative in hectar
</t>
  </si>
  <si>
    <t>Calculated using GIS; 
Land use and management plans; 
Monitoring reports;
Field reports</t>
  </si>
  <si>
    <t>PMU executing partners</t>
  </si>
  <si>
    <t>Through all components. This indicator applies to all corridors in TAL, which will have updated / improved management plans. In this case, could use the Protected Forest areas as the figure for GEF subindicator 4.1</t>
  </si>
  <si>
    <r>
      <rPr>
        <b/>
        <sz val="11"/>
        <rFont val="Calibri"/>
        <family val="2"/>
        <scheme val="minor"/>
      </rPr>
      <t xml:space="preserve">Sub-indicator 4.1: </t>
    </r>
    <r>
      <rPr>
        <sz val="11"/>
        <rFont val="Calibri"/>
        <family val="2"/>
        <scheme val="minor"/>
      </rPr>
      <t>Area of landscapes under improved management to benefit biodiversity</t>
    </r>
  </si>
  <si>
    <t>This indicator captures the landscape area being managed to benefit biodiversity, but which is not certified.</t>
  </si>
  <si>
    <r>
      <rPr>
        <b/>
        <sz val="11"/>
        <color rgb="FF000000"/>
        <rFont val="Calibri"/>
        <family val="2"/>
        <scheme val="minor"/>
      </rPr>
      <t xml:space="preserve">Sub-indicator 4.3: </t>
    </r>
    <r>
      <rPr>
        <sz val="11"/>
        <color rgb="FF000000"/>
        <rFont val="Calibri"/>
        <family val="2"/>
        <scheme val="minor"/>
      </rPr>
      <t>Area of landscapes under sustainable land management in production systems</t>
    </r>
  </si>
  <si>
    <t>This indicator captures the landscape area that is in production (e.g., agriculture, rangeland, and forests) and whose soil, air, and water are managed in a sustainable manner</t>
  </si>
  <si>
    <r>
      <rPr>
        <b/>
        <sz val="11"/>
        <color rgb="FF000000"/>
        <rFont val="Calibri"/>
        <family val="2"/>
        <scheme val="minor"/>
      </rPr>
      <t>Core Indicator 6:</t>
    </r>
    <r>
      <rPr>
        <sz val="11"/>
        <color rgb="FF000000"/>
        <rFont val="Calibri"/>
        <family val="2"/>
        <scheme val="minor"/>
      </rPr>
      <t xml:space="preserve"> Greenhouse gas emission mitigated
</t>
    </r>
    <r>
      <rPr>
        <b/>
        <sz val="11"/>
        <color rgb="FF000000"/>
        <rFont val="Calibri"/>
        <family val="2"/>
        <scheme val="minor"/>
      </rPr>
      <t>Sub-indicator 6.1:</t>
    </r>
    <r>
      <rPr>
        <sz val="11"/>
        <color rgb="FF000000"/>
        <rFont val="Calibri"/>
        <family val="2"/>
        <scheme val="minor"/>
      </rPr>
      <t xml:space="preserve"> Carbon sequestered, or emissions avoided in the AFOLU sector</t>
    </r>
  </si>
  <si>
    <t>Carbon sequestration is defined as the process of increasing the carbon content of a reservoir/pool other than the atmosphere (IPCC, 2012). Avoided emissions refers to reduced emissions due to avoided deforestation or forest degradation, sustainable forest management, and improved practices on other land uses such as in agriculture. Through project interventions in TAL.</t>
  </si>
  <si>
    <t xml:space="preserve">t/ha/yr calculated using FAO EX-ACT Tool  </t>
  </si>
  <si>
    <t>PMU, executing partners</t>
  </si>
  <si>
    <t>n/a</t>
  </si>
  <si>
    <t>Forest fires do not adversely impact carbon sequestration in project areas</t>
  </si>
  <si>
    <r>
      <rPr>
        <b/>
        <sz val="11"/>
        <rFont val="Calibri"/>
        <family val="2"/>
      </rPr>
      <t>GEF Core Indicator 11:</t>
    </r>
    <r>
      <rPr>
        <sz val="11"/>
        <rFont val="Calibri"/>
        <family val="2"/>
      </rPr>
      <t xml:space="preserve"> </t>
    </r>
    <r>
      <rPr>
        <b/>
        <sz val="11"/>
        <rFont val="Calibri"/>
        <family val="2"/>
      </rPr>
      <t>Number of direct beneficiaries disaggregated by gender as co-benefit of GEF investment</t>
    </r>
  </si>
  <si>
    <t>.
a) Community members in targeted CFUGs and BZUGs in intervention areas receiving  capacity development / training; disaggregated by gender</t>
  </si>
  <si>
    <t>Cumulative
Direct beneficiary: individual who receives targeted support from a given GEF project and/or who uses specific resources that the project maintains or enhances
ILM4TAL field project report and database
Training reports</t>
  </si>
  <si>
    <t>M&amp;E Officer-ILM4TA</t>
  </si>
  <si>
    <t>Women</t>
  </si>
  <si>
    <t>Men</t>
  </si>
  <si>
    <t>b) Government staff receiving capacity development / training from the project , disaggregated by gender and federal/state/local government</t>
  </si>
  <si>
    <t>ILM4TAL field project report and database
Training reports</t>
  </si>
  <si>
    <t>Total ALL beneficiaries</t>
  </si>
  <si>
    <t xml:space="preserve">Average percent achievement (50% weight on gender) Indicator 11 </t>
  </si>
  <si>
    <t>Project Objective achievement:</t>
  </si>
  <si>
    <t>COMPONENT 1: National capacity and enabling environment for cross-sectoral coordination to promote forest and landscape conservation</t>
  </si>
  <si>
    <r>
      <rPr>
        <b/>
        <sz val="11"/>
        <rFont val="Calibri"/>
        <family val="2"/>
        <scheme val="minor"/>
      </rPr>
      <t xml:space="preserve">Outcome 1.1: </t>
    </r>
    <r>
      <rPr>
        <sz val="11"/>
        <rFont val="Calibri"/>
        <family val="2"/>
        <scheme val="minor"/>
      </rPr>
      <t xml:space="preserve"> Improved inter-sectoral coordination from Federal, State to Local level for sustainable forest management and integrated landscape management</t>
    </r>
  </si>
  <si>
    <r>
      <t xml:space="preserve">Number of Cross-sectoral coordination mechanisms strengthened and/or newly established and meeting regularly at Federal, State and Local levels 
# mechanisms at each level
</t>
    </r>
    <r>
      <rPr>
        <b/>
        <sz val="10"/>
        <rFont val="Calibri"/>
        <family val="2"/>
        <scheme val="minor"/>
      </rPr>
      <t>Cumulative</t>
    </r>
  </si>
  <si>
    <t>Mechanisms will include: Federal, State, District and Municipal coordination committees, etc. (see Output 1.1.1) and will only be counted if meeting regularly (minimum quarterly)
Strengthened = Legal/administrative recognition of the coordination body (where necessary); ToR review and improvement; membership to include relevant stakeholders; rules and procedures reviewed to be fit for function; regular meetings held</t>
  </si>
  <si>
    <t>Percentage of agency staff responsible for ILM coordination functions at federal and state levels (including NBCC, NBCC Subcommittees and State Biodiversity Coordination Committees for States 2,3,5,7 and Karnali) that have participated in project supported training on conservation leadership and ILM related subjects
% staff
Cumulative</t>
  </si>
  <si>
    <t xml:space="preserve">PMU. Executing partners  </t>
  </si>
  <si>
    <t>Federal</t>
  </si>
  <si>
    <t>Sectoral agencies are willing to cooperate at federal, state and local levels to achieve ILM.</t>
  </si>
  <si>
    <t>State</t>
  </si>
  <si>
    <t>Local</t>
  </si>
  <si>
    <r>
      <rPr>
        <b/>
        <sz val="11"/>
        <rFont val="Calibri"/>
        <family val="2"/>
        <scheme val="minor"/>
      </rPr>
      <t>Outcome 1.2:</t>
    </r>
    <r>
      <rPr>
        <sz val="11"/>
        <rFont val="Calibri"/>
        <family val="2"/>
        <scheme val="minor"/>
      </rPr>
      <t xml:space="preserve"> Capacity increased for multi-stakeholder and cross-sector landscape and forest planning and management </t>
    </r>
  </si>
  <si>
    <t>The target group here is all staff participating in biodiversity coordination committees and subcommittees at federal and state agencies. As some of these committees will only be established during project implementation, training can only start after their establishment. Training will also seek to address staff turnover on these committees.</t>
  </si>
  <si>
    <t>Reports on project training events</t>
  </si>
  <si>
    <t>Biodiversity coordination committees and subcommittees are established at federal and state levels during the course of project implementation and representatives agree to attend training courses</t>
  </si>
  <si>
    <t>Component 1 achievement:</t>
  </si>
  <si>
    <t>COMPONENT 2: Integrated Planning for Protected Area Buffer Zones and Critical Corridors in the Terai Arc Landscape</t>
  </si>
  <si>
    <r>
      <rPr>
        <b/>
        <sz val="11"/>
        <color rgb="FF000000"/>
        <rFont val="Calibri"/>
        <family val="2"/>
        <scheme val="minor"/>
      </rPr>
      <t>Outcome 2.1:</t>
    </r>
    <r>
      <rPr>
        <sz val="11"/>
        <color rgb="FF000000"/>
        <rFont val="Calibri"/>
        <family val="2"/>
        <scheme val="minor"/>
      </rPr>
      <t xml:space="preserve">  Improved corridor planning for TAL corridors (Brahmadev, Karnali and Kamdi)</t>
    </r>
  </si>
  <si>
    <t># of TAL corridors assessed for improved community-based natural resource governance status that includes biodiversity conservation
# surveys
Non-Cumulative</t>
  </si>
  <si>
    <t>Biodiversity surveys, socio-economic surveys, and local stakeholder consultation for Brahmadev, Karnali, and Kamdi corridors to determine feasibility of appropriate models for community-based natural resource management and strategic framework development, including KBA assessments</t>
  </si>
  <si>
    <t xml:space="preserve"> # of surveys completed for each corridor</t>
  </si>
  <si>
    <t>The MoFE, State and local government agencies provide political and financial support for the protection and sustainable management of forest resources in critical corridors</t>
  </si>
  <si>
    <r>
      <rPr>
        <b/>
        <sz val="11"/>
        <rFont val="Calibri"/>
        <family val="2"/>
        <scheme val="minor"/>
      </rPr>
      <t>Outcome 2.2:</t>
    </r>
    <r>
      <rPr>
        <sz val="11"/>
        <rFont val="Calibri"/>
        <family val="2"/>
        <scheme val="minor"/>
      </rPr>
      <t xml:space="preserve"> Improved participatory planning for sustainable management of in Banke-Bardia complex</t>
    </r>
  </si>
  <si>
    <t>No. of CFUGs in Kamdi and Karnali Corridors with updated forest operation plans addressing SFM and biodiversity conservation
# CFUGs
Cumulative</t>
  </si>
  <si>
    <t>Kamdi corridor 
x out of out of 76 CFUGs have updated FMOPs</t>
  </si>
  <si>
    <t>Karnali corridor
out of 54 CFUGs have updated FMOPs</t>
  </si>
  <si>
    <t xml:space="preserve">% change in Area Weighted Mean Patch Area (AREA_AM) to determine connectivity of forest cover in targeted corridors </t>
  </si>
  <si>
    <t>Area Weighted Mean Patch Area (AREA_AM) is the sum across all patches of the corresponding patch value multiplied by the proportional patch area divided by the sum of patch areas (McGarigal et al., 2012). Increase in patch size indicate merger of patches and thus decrease in fragmentation of particular patch type.</t>
  </si>
  <si>
    <t>Measured by GIS analysis of satellite imagery of forest cover in targeted corridors and PA buffer zones, for sample areas. Programmes such as FRAGSTATS can be used for analysis: https://www.umass.edu/landeco/research/fragstats/fragstats.html</t>
  </si>
  <si>
    <t>Project GIS staff</t>
  </si>
  <si>
    <t xml:space="preserve">Kamdi corridor </t>
  </si>
  <si>
    <t>&gt;5% increase in mean patch size over baseline</t>
  </si>
  <si>
    <t>Forest fires do not adversely impact forest corridor connectivity</t>
  </si>
  <si>
    <t>Karnali corridor</t>
  </si>
  <si>
    <t>Component 2 achievement:</t>
  </si>
  <si>
    <t>COMPONENT 3: COMPONENT 3: Forest and human-wildlife conflict management for improved conservation of targeted protected area buffer zones and corridors in the Terai Arc Landscape</t>
  </si>
  <si>
    <r>
      <rPr>
        <b/>
        <sz val="11"/>
        <rFont val="Calibri"/>
        <family val="2"/>
        <scheme val="minor"/>
      </rPr>
      <t xml:space="preserve">Outcome 3.1: </t>
    </r>
    <r>
      <rPr>
        <sz val="11"/>
        <rFont val="Calibri"/>
        <family val="2"/>
        <scheme val="minor"/>
      </rPr>
      <t>Strengthen livelihoods and biodiversity conservation through Sustainable forest management practices</t>
    </r>
  </si>
  <si>
    <t>) No. forest fire incidents in targeted corridor / BZ per year
%
Cumulative</t>
  </si>
  <si>
    <t>Number of forest fire occurrences detected by remote sensing. See separate sheet for ICIMOD data</t>
  </si>
  <si>
    <t>ICIMOD forest fire monitoring data</t>
  </si>
  <si>
    <t xml:space="preserve">Kamdi </t>
  </si>
  <si>
    <t>Karnali</t>
  </si>
  <si>
    <t>Banke</t>
  </si>
  <si>
    <t>Bardia</t>
  </si>
  <si>
    <t>b) % CFUGs managing open grazing out of total number in the targeted corridor / buffer zone</t>
  </si>
  <si>
    <t>Open grazing: unrestricted grazing of cattle on lands covered by Community Forest, Protected Forest, Protected Area and PA Buffer Zone designations</t>
  </si>
  <si>
    <t>Surveys of CFUGs in targeted areas</t>
  </si>
  <si>
    <t>Kamdi corridor 
11 out of out of 76 CFUGs have imposed bans and 50 allow rotational grazing</t>
  </si>
  <si>
    <t>The management of grazing is supported by relevant agencies to ensure that livestock herders continue to receive benefits under new  grazing management regimes</t>
  </si>
  <si>
    <t>Karnali corridor all 54 CFUGs allow grazing</t>
  </si>
  <si>
    <t>Gender mainstreaming and the rights of indigenous peoples are accepted and supported by federal, state and local government leaders</t>
  </si>
  <si>
    <t>a) Women, resident indigenous peoples and marginalized groups empowered for CBNRM in targeted corridors and buffer zones as indicated by:  a) Number of womens’, indigenous peoples and Dalit groups established for CBNRM and livelihood activities
# communities
Non-cumulative</t>
  </si>
  <si>
    <t>Definitions for indigenous peoples and Dalit follows that used in the Safeguards assessment (see Annex X of ProDoc)</t>
  </si>
  <si>
    <t xml:space="preserve">Executing partners  </t>
  </si>
  <si>
    <t>Women's group</t>
  </si>
  <si>
    <t>IP groups</t>
  </si>
  <si>
    <t>Dalit groups</t>
  </si>
  <si>
    <t>b) Number of indigenous peoples and Dalit communities engaged in project CBNRM and livelihood interventions
# communities
Non-cumulative</t>
  </si>
  <si>
    <t>c) Average percentage of female, indigenous and Dalit recipients of project-related loans for community level enterprise and livelihood support
% female, IP and dalit recipients of total recipients
Non-cumulative</t>
  </si>
  <si>
    <t xml:space="preserve">The average should be applied across all communities receiving project-supported revolving loan schemes, allowing for variation in percentages in individual communities (for instance, higher percentages of IP loans are expected in Tharu areas)
</t>
  </si>
  <si>
    <t>Disaggregated by community, then summed and averaged</t>
  </si>
  <si>
    <t>Female</t>
  </si>
  <si>
    <t xml:space="preserve">IP </t>
  </si>
  <si>
    <t xml:space="preserve">Dalit </t>
  </si>
  <si>
    <t>d) Average percentage of female, indigenous and Dalit participants in project-related training for CBNRM and livelihood activities
% female, IP and dalit recipients of total recipients
Non-cumulative</t>
  </si>
  <si>
    <r>
      <rPr>
        <b/>
        <sz val="11"/>
        <color rgb="FF000000"/>
        <rFont val="Calibri"/>
        <family val="2"/>
        <scheme val="minor"/>
      </rPr>
      <t xml:space="preserve">Outcome 3.2: </t>
    </r>
    <r>
      <rPr>
        <sz val="11"/>
        <color rgb="FF000000"/>
        <rFont val="Calibri"/>
        <family val="2"/>
        <scheme val="minor"/>
      </rPr>
      <t>Improved management of the human-wildlife conflict</t>
    </r>
  </si>
  <si>
    <t>Reduced incidence of HWC in localities where related project activities occur within targeted corridor and PA buffer zone areas</t>
  </si>
  <si>
    <t>HWC: actions by humans or wildlife that have an adverse effect on the other</t>
  </si>
  <si>
    <t>Targeted locations for HWC related activities in PA BZs and Corridors</t>
  </si>
  <si>
    <t>HWC records are systematically collected and maintained by the government</t>
  </si>
  <si>
    <t>a) No. livestock taken / year
%
Cumulative</t>
  </si>
  <si>
    <t>Definition to follow local government HWC reporting system</t>
  </si>
  <si>
    <t>Local Government statistics/ reports; and project location-specific reports</t>
  </si>
  <si>
    <t>M&amp;E Officer-ILM4TAL</t>
  </si>
  <si>
    <t>a) No. livestock taken / year - to be determined for targeted locations - TBC</t>
  </si>
  <si>
    <r>
      <rPr>
        <sz val="10"/>
        <color rgb="FF000000"/>
        <rFont val="Calibri"/>
        <family val="2"/>
        <scheme val="minor"/>
      </rPr>
      <t xml:space="preserve">b) </t>
    </r>
    <r>
      <rPr>
        <strike/>
        <sz val="10"/>
        <color rgb="FF000000"/>
        <rFont val="Calibri"/>
        <family val="2"/>
        <scheme val="minor"/>
      </rPr>
      <t xml:space="preserve">Damage to houses/year </t>
    </r>
    <r>
      <rPr>
        <sz val="10"/>
        <color rgb="FF0070C0"/>
        <rFont val="Calibri"/>
        <family val="2"/>
        <scheme val="minor"/>
      </rPr>
      <t xml:space="preserve">Area of cropland protected (ha)
</t>
    </r>
    <r>
      <rPr>
        <sz val="10"/>
        <color rgb="FF000000"/>
        <rFont val="Calibri"/>
        <family val="2"/>
        <scheme val="minor"/>
      </rPr>
      <t xml:space="preserve">
%
Cumulative</t>
    </r>
  </si>
  <si>
    <r>
      <rPr>
        <sz val="9"/>
        <color rgb="FFFF0000"/>
        <rFont val="Calibri"/>
        <family val="2"/>
        <scheme val="minor"/>
      </rPr>
      <t xml:space="preserve">b) </t>
    </r>
    <r>
      <rPr>
        <strike/>
        <sz val="9"/>
        <color rgb="FFFF0000"/>
        <rFont val="Calibri"/>
        <family val="2"/>
        <scheme val="minor"/>
      </rPr>
      <t>Damage to houses/year - for targeted locations: 256 Bardia</t>
    </r>
    <r>
      <rPr>
        <sz val="9"/>
        <color rgb="FFFF0000"/>
        <rFont val="Calibri"/>
        <family val="2"/>
        <scheme val="minor"/>
      </rPr>
      <t xml:space="preserve"> </t>
    </r>
    <r>
      <rPr>
        <sz val="9"/>
        <color rgb="FF0070C0"/>
        <rFont val="Calibri"/>
        <family val="2"/>
        <scheme val="minor"/>
      </rPr>
      <t>Area of cropland protected (ha)</t>
    </r>
  </si>
  <si>
    <t>c) Human fatalities and injuries / year
%
Cumulative</t>
  </si>
  <si>
    <t xml:space="preserve">c) Human fatalities and injuries / year - for targeted locations: 5 killed and 3 injured in Bardia </t>
  </si>
  <si>
    <t>d) Number of wildlife fatalities on national park roads
% 
Cumulative</t>
  </si>
  <si>
    <t>Wildlife fatalities - number of wild animals killed in road accidents along identified road stretches during set time periods</t>
  </si>
  <si>
    <t>No. wild animals killed in road accidents 66 in Bardia and 58 in Banke NPs in FY 2016/17</t>
  </si>
  <si>
    <r>
      <rPr>
        <b/>
        <sz val="11"/>
        <rFont val="Calibri"/>
        <family val="2"/>
        <scheme val="minor"/>
      </rPr>
      <t xml:space="preserve">Outcome 3.3: </t>
    </r>
    <r>
      <rPr>
        <sz val="11"/>
        <rFont val="Calibri"/>
        <family val="2"/>
        <scheme val="minor"/>
      </rPr>
      <t>Enhanced capacities of government agencies and community in curbing illegal wildlife crime</t>
    </r>
  </si>
  <si>
    <t># reported cases of poaching in targeted PA Buffer Zones and Corridors per year by species
# cases
Non-cumulative</t>
  </si>
  <si>
    <t>Poaching: illegal killing of wildlife</t>
  </si>
  <si>
    <t>CBAPU reports, DFO reports</t>
  </si>
  <si>
    <t>By species and BZ/Corridor</t>
  </si>
  <si>
    <t>Zero poaching in Banke and Bardiya in Fiscal year 2016/17. No information available for corridors</t>
  </si>
  <si>
    <t>Systematic reporting of poaching incidents established for targeted BZs/Corridors</t>
  </si>
  <si>
    <t>NA</t>
  </si>
  <si>
    <t xml:space="preserve">Karnali  corridor </t>
  </si>
  <si>
    <t>Component 3 achievement:</t>
  </si>
  <si>
    <t>COMPONENT 4: Monitoring and evaluation (M&amp;E), knowledge management (KM), and regional coordination</t>
  </si>
  <si>
    <r>
      <rPr>
        <b/>
        <sz val="11"/>
        <rFont val="Calibri"/>
        <family val="2"/>
        <scheme val="minor"/>
      </rPr>
      <t>Outcome 4.1:</t>
    </r>
    <r>
      <rPr>
        <sz val="11"/>
        <rFont val="Calibri"/>
        <family val="2"/>
        <scheme val="minor"/>
      </rPr>
      <t xml:space="preserve"> Improved coordination and dialogue on integrated landscape management from the local to national level</t>
    </r>
  </si>
  <si>
    <t>Number of stakeholders participating in annual forums (indicates that national, provincial and local stakeholders involved with TAL are informed of progress and participate in discussion of project-related issues)
# stakeholders
Non-cumulative</t>
  </si>
  <si>
    <t xml:space="preserve">Participate: take part in project related meetings and able to freely provide views, excludes project trainings.
</t>
  </si>
  <si>
    <t xml:space="preserve">Project reports
</t>
  </si>
  <si>
    <t>Disaggregate stakeholders by gender, level of government, and civil society representation</t>
  </si>
  <si>
    <t>Project management staff actively participate in annual reflection workshops and are committed to incorporating M&amp;E data into workplans</t>
  </si>
  <si>
    <t>CSOs</t>
  </si>
  <si>
    <t xml:space="preserve">Changes in attitudes on integrated landscape management.
% increase in Knowledge, Attitudes, Perception scores </t>
  </si>
  <si>
    <t xml:space="preserve">Participant take part in project related mass awareness and capacity buiulding events.
</t>
  </si>
  <si>
    <t>KAP Survey</t>
  </si>
  <si>
    <t xml:space="preserve">The % target increase will be set only upon completion of the first Knowledge, Attitude, Practices (KAP) survey. </t>
  </si>
  <si>
    <r>
      <rPr>
        <b/>
        <sz val="11"/>
        <rFont val="Calibri"/>
        <family val="2"/>
        <scheme val="minor"/>
      </rPr>
      <t>Outcome 4.2:</t>
    </r>
    <r>
      <rPr>
        <sz val="11"/>
        <rFont val="Calibri"/>
        <family val="2"/>
        <scheme val="minor"/>
      </rPr>
      <t xml:space="preserve"> Project monitoring system operates, systematically provides information on progress, and informs adaptive management to ensure results</t>
    </r>
  </si>
  <si>
    <t>Number of annual reflection workshops linked to annual stakeholder forums where project management analyses project progress and resource allocation, monitoring result and incorporates adaptive management into work planning.
# workshops
Non-cumulative</t>
  </si>
  <si>
    <t>Project reports</t>
  </si>
  <si>
    <r>
      <rPr>
        <b/>
        <sz val="11"/>
        <color rgb="FF000000"/>
        <rFont val="Calibri"/>
        <family val="2"/>
        <scheme val="minor"/>
      </rPr>
      <t xml:space="preserve">Outcome 4.3: </t>
    </r>
    <r>
      <rPr>
        <sz val="11"/>
        <color rgb="FF000000"/>
        <rFont val="Calibri"/>
        <family val="2"/>
        <scheme val="minor"/>
      </rPr>
      <t>Project monitoring system operates, systematically provides information on progress, and informs adaptive management to ensure result</t>
    </r>
  </si>
  <si>
    <t>a) Number of forums where annual lessons are shared</t>
  </si>
  <si>
    <t># forums
Non-cumulative</t>
  </si>
  <si>
    <t>Involvement in the design and implementation of project interventions and knowledge sharing on the experiences and expected benefits of ILM practices will result in long-term support for the project and adoption of new knowledge, skills and practices.</t>
  </si>
  <si>
    <t>b) Articles on project-related websites (No/year)</t>
  </si>
  <si>
    <t xml:space="preserve"># articles
Non-cumulative </t>
  </si>
  <si>
    <t>c) Number of radio programs hosted by the project</t>
  </si>
  <si>
    <t># radio programs
Non-cumulative</t>
  </si>
  <si>
    <t>Component 4 achievement:</t>
  </si>
  <si>
    <t>Development Objective</t>
  </si>
  <si>
    <t>Total  % achieved</t>
  </si>
  <si>
    <r>
      <t>Period:</t>
    </r>
    <r>
      <rPr>
        <sz val="16"/>
        <color rgb="FF003366"/>
        <rFont val="Calibri"/>
        <family val="2"/>
      </rPr>
      <t xml:space="preserve"> Year 1 (July 21 - June 22) (FY 78/79)</t>
    </r>
  </si>
  <si>
    <t xml:space="preserve">ANNUAL WORK PLAN </t>
  </si>
  <si>
    <t>WORK PLAN TRACKING (Tracking at end of project year)</t>
  </si>
  <si>
    <t>COMPONENT / OUTCOME / OUTPUT</t>
  </si>
  <si>
    <t>#</t>
  </si>
  <si>
    <t>ACTIVITIES</t>
  </si>
  <si>
    <t>Responsible</t>
  </si>
  <si>
    <t>YEAR X TIMING</t>
  </si>
  <si>
    <t>BUDGET in USD</t>
  </si>
  <si>
    <t xml:space="preserve">x </t>
  </si>
  <si>
    <t>UNIT DESCRIPTION</t>
  </si>
  <si>
    <t>TARGET</t>
  </si>
  <si>
    <t>#  UNIT(S) ACHIEVED</t>
  </si>
  <si>
    <r>
      <rPr>
        <b/>
        <sz val="12"/>
        <color theme="0"/>
        <rFont val="Calibri"/>
        <family val="2"/>
        <scheme val="minor"/>
      </rPr>
      <t xml:space="preserve">% ACHIEVED BY ACTIVITY
</t>
    </r>
    <r>
      <rPr>
        <sz val="10"/>
        <color indexed="9"/>
        <rFont val="Calibri"/>
        <family val="2"/>
      </rPr>
      <t>(# unit(s) achieved / target)</t>
    </r>
  </si>
  <si>
    <t>% ACHIEVED BY OUTCOME</t>
  </si>
  <si>
    <t>% ACHIEVED BY COMPONENT</t>
  </si>
  <si>
    <t>BUDGET 
(actual, by Component)</t>
  </si>
  <si>
    <t>Q1</t>
  </si>
  <si>
    <t>Q2</t>
  </si>
  <si>
    <t>Q3</t>
  </si>
  <si>
    <t>Q4</t>
  </si>
  <si>
    <t>TA</t>
  </si>
  <si>
    <t xml:space="preserve">Programm Funding </t>
  </si>
  <si>
    <t>if activity is carried over from previous year</t>
  </si>
  <si>
    <t># of</t>
  </si>
  <si>
    <t>in  Rupee</t>
  </si>
  <si>
    <t>in USD</t>
  </si>
  <si>
    <t xml:space="preserve">A. ACTIVITY COSTS </t>
  </si>
  <si>
    <t>Outcome 1.1: Improved inter-sectoral coordination from Federal, State to Local level for sustainable forest management and integrated landscape management</t>
  </si>
  <si>
    <r>
      <t xml:space="preserve">Output 1.1.1 : </t>
    </r>
    <r>
      <rPr>
        <sz val="10"/>
        <rFont val="Calibri"/>
        <family val="2"/>
      </rPr>
      <t>Cross-sectoral coordination mechanisms established to support integrated landscape management for conservation outcomes at different levels</t>
    </r>
  </si>
  <si>
    <t>1.1.1.1: Provide support to NBCC committee (ensure gender inclusive team)</t>
  </si>
  <si>
    <t>1.1.1.2 Organize State level Biodiversity Co-ordination Committee (State 2,3,5,7 and Karnali) meetings</t>
  </si>
  <si>
    <t xml:space="preserve">1.1.1.3 Provide technical and financial support to State Biodiversity Co-ordination committee </t>
  </si>
  <si>
    <t xml:space="preserve">1.1.1.4 Organize inter-ministerial coordination mechanism for wildlife friendly infrastructure </t>
  </si>
  <si>
    <t>1.1.1.5 Organize inter-state coordination (2, 3, Gandaki, 5, Karnali, 7) for implementation of the NBSAP and TAL Strategy</t>
  </si>
  <si>
    <t xml:space="preserve">1.1.1.6 Carry out cluster meetings with Municipalities </t>
  </si>
  <si>
    <t>1.1.1.7 Conduct final review of NBSAP (2014-2020)</t>
  </si>
  <si>
    <t>1.1.1.8Provide technical and financial support to WCCB</t>
  </si>
  <si>
    <t xml:space="preserve">1.1.1.9 Field program implementation support &amp; coordination </t>
  </si>
  <si>
    <t xml:space="preserve">Outcome 1.2 Capacity increased for multi-stakeholder and cross-sector landscape and forest planning and management </t>
  </si>
  <si>
    <r>
      <rPr>
        <b/>
        <sz val="10"/>
        <rFont val="Calibri"/>
        <family val="2"/>
      </rPr>
      <t>Output 1.2.1.</t>
    </r>
    <r>
      <rPr>
        <sz val="10"/>
        <rFont val="Calibri"/>
        <family val="2"/>
      </rPr>
      <t xml:space="preserve"> Conservation Leadership Training provided </t>
    </r>
  </si>
  <si>
    <t>1.2.1.1:  Conduct training to ILM coordinators for capturing international best practice and applying this to the local context</t>
  </si>
  <si>
    <r>
      <rPr>
        <b/>
        <sz val="10"/>
        <rFont val="Calibri"/>
        <family val="2"/>
      </rPr>
      <t>Output 1.2.2</t>
    </r>
    <r>
      <rPr>
        <sz val="10"/>
        <rFont val="Calibri"/>
        <family val="2"/>
      </rPr>
      <t xml:space="preserve"> Training courses provided on key subjects for integrated landscape management for responsible federal and state government staff</t>
    </r>
  </si>
  <si>
    <t xml:space="preserve">1.2.2.1: Conduct training on Biodiversity conservation and monitoring  </t>
  </si>
  <si>
    <t>1.1.2.2: Conduct training on Disaster Risk Management</t>
  </si>
  <si>
    <t xml:space="preserve">1.1.2.3: Orientation on roles and responsibilities for new park staff (senior/game scouts) </t>
  </si>
  <si>
    <t xml:space="preserve">1.1.2.4: Orientation on roles and responsibilities for new divisional staff </t>
  </si>
  <si>
    <r>
      <rPr>
        <b/>
        <sz val="10"/>
        <rFont val="Calibri"/>
        <family val="2"/>
      </rPr>
      <t>Output 1.2.3</t>
    </r>
    <r>
      <rPr>
        <sz val="10"/>
        <rFont val="Calibri"/>
        <family val="2"/>
      </rPr>
      <t xml:space="preserve"> Small grants for innovation in ILM (conservation, natural resource, and landscape management) in TAL corridors and PA buffer zones</t>
    </r>
  </si>
  <si>
    <t>1.2.3.1:Provide Individual grant (Bachelors and Master's thesis)</t>
  </si>
  <si>
    <t>1.1.3.2: Provide Institutional grant to Academic Institutional and CBOs/CSOs</t>
  </si>
  <si>
    <t>1.1.3.3: Provide innovation grant to the government agencies (National Park, Forest Division, Research and Training Centre) at state level</t>
  </si>
  <si>
    <t>Component 2: Integrated Planning for Protected Area Buffer Zones and Critical Corridors in the Terai Arc Landscape</t>
  </si>
  <si>
    <t>Outcome 2.1: Improved corridor planning for TAL corridors (Brahmadev, Karnali and Kamdi)</t>
  </si>
  <si>
    <r>
      <t xml:space="preserve">Output 2.1.1 </t>
    </r>
    <r>
      <rPr>
        <sz val="10"/>
        <rFont val="Calibri"/>
        <family val="2"/>
      </rPr>
      <t>Biodiversity surveys, socio-economic surveys, and local stakeholder consultation for Brahmadev , Karnali, and Kamdi corridors to determine feasibility of appropriate models for community-based natural resource management</t>
    </r>
  </si>
  <si>
    <t xml:space="preserve"> 2.1.1.1: Conduct assessment to update biodiversity inventory and socio-economic status in corridors (incorporating GESI aspect, indigenous people and access restriction information) </t>
  </si>
  <si>
    <t>2.1.1.2: Provide technical support to review existing forest encroachment status and response options considering GESI aspect and any necessary safeguards management plans (e.g. IPP or LRP)”</t>
  </si>
  <si>
    <t>2.1.1.3: Prepare corridor/bottleneck assessment report with GESI and safeguards integration</t>
  </si>
  <si>
    <t>Outcome 2.2: Improved participatory planning for sustainable management of in Banke-Bardia complex</t>
  </si>
  <si>
    <r>
      <t xml:space="preserve">Output 2.2.1: </t>
    </r>
    <r>
      <rPr>
        <sz val="10"/>
        <rFont val="Calibri"/>
        <family val="2"/>
      </rPr>
      <t xml:space="preserve">Land uses, biodiversity values, forest carbon, and key threats assessed, mapped, reported and disseminated to identify priority villages and forest areas in the targeted PA buffer zones and corridors </t>
    </r>
  </si>
  <si>
    <t xml:space="preserve">2.2.1.1: Conduct participatory assessments in targeted PA buffer zones and corridors to identify priority community and forest areas </t>
  </si>
  <si>
    <t>2.2.1.2: Conduct resource mapping of CFUGs at corridor level and BZUCs</t>
  </si>
  <si>
    <t xml:space="preserve">2.2.1.3: Carry out consultations at identified communities </t>
  </si>
  <si>
    <r>
      <t xml:space="preserve">Output 2.2.2: </t>
    </r>
    <r>
      <rPr>
        <sz val="10"/>
        <rFont val="Calibri"/>
        <family val="2"/>
      </rPr>
      <t>Sustainable Forest Management Operational Plans developed or revised for priority forest areas, incorporating the assessment from 2.2.1</t>
    </r>
  </si>
  <si>
    <t>2.2.1.1: Provide financial support to develop State forest sector strategies (including Community Forests, Protected Forests and Leash-hold Forest)</t>
  </si>
  <si>
    <t xml:space="preserve">2.2.1.2: Support CFUGs and BZ CFUGs to develop/revise forest operational plan (GESI aspect is revised/incorporated) </t>
  </si>
  <si>
    <t>COMPONENT 3: Forest and human-wildlife conflict management for improved conservation of targeted protected area buffer zones and corridors in the Terai Arc Landscape</t>
  </si>
  <si>
    <t>Outcome 3.1: Strengthen livelihoods and biodiversity conservation through Sustainable forest management practices</t>
  </si>
  <si>
    <r>
      <t xml:space="preserve">Output 3.1.1:  </t>
    </r>
    <r>
      <rPr>
        <sz val="10"/>
        <rFont val="Calibri"/>
        <family val="2"/>
      </rPr>
      <t>Training and tools to local government on SFM</t>
    </r>
  </si>
  <si>
    <t>3.1.1.1: Prepare Sustainable Forest Management Training (SFM) Manual incorporating GESI</t>
  </si>
  <si>
    <t xml:space="preserve">3.1.1.2: Provide "Training of Trainers" (TOT) to Division Forest Offices staff based on SFM Training Manual </t>
  </si>
  <si>
    <t xml:space="preserve">3.1.1.3 Establish Forest Management Information system (FMIS) including forest fire management </t>
  </si>
  <si>
    <t>3.1.1.4: Support the State Forest Directorate fire reporting system</t>
  </si>
  <si>
    <t>3.1.1.5: Support forest fire management through innovative tools and techniques such as leaf litter collection and composting (within targeted sites identified in component 2)</t>
  </si>
  <si>
    <t>3.1.1.6 Provide multi-year support for nursery to Division forest offices (within targeted sites identified in component 2)</t>
  </si>
  <si>
    <r>
      <t xml:space="preserve">Output 3.1.2: </t>
    </r>
    <r>
      <rPr>
        <sz val="10"/>
        <rFont val="Calibri"/>
        <family val="2"/>
      </rPr>
      <t>Technical support to CFUGs, BZCFUGs and land holders for forest management</t>
    </r>
  </si>
  <si>
    <t>3.1.2.1: Provide training to CFUGs and BZ CFUGs for forest management implementation (including applied SFM, restoration technique - lined with 3.1.1</t>
  </si>
  <si>
    <t>3.1.2.2: Conduct exchange visits for targeted BZ CFUG members (learning from successful UCs on fund mobilization and HWC management)</t>
  </si>
  <si>
    <t>3.1.2.3: Support BZUCs annual meetings for Bardia and Banke NP Buffer Zones (northern side)</t>
  </si>
  <si>
    <t xml:space="preserve">3.1.2.4: Provide coaching on "Governance and Financial management" for CFUGs of corridors and PA Buffer zones </t>
  </si>
  <si>
    <t>3.1.2.5: Provide support private forest development (providing seedling, irrigation, fencing)</t>
  </si>
  <si>
    <t xml:space="preserve">3.1.2.6: Support to register private forest </t>
  </si>
  <si>
    <r>
      <t xml:space="preserve">Output 3.1.3: </t>
    </r>
    <r>
      <rPr>
        <sz val="10"/>
        <rFont val="Calibri"/>
        <family val="2"/>
      </rPr>
      <t>Forests and associated habitat in priority buffer zones and corridors managed sustainably</t>
    </r>
  </si>
  <si>
    <t>3.1.3.1: Create revolving fund to implement forest operational plans in project targeted corridors</t>
  </si>
  <si>
    <t>3.1.3.2: Provide financial and technical support to improve livestock management (AI, fodder plant support, feeding trough, vet support, stall improvement)</t>
  </si>
  <si>
    <t>3.1.3.3: Provide financial and technical support for management of grassland and wetland in  project targeted area</t>
  </si>
  <si>
    <t>3.1.3.4: Provide financial and technical support for river bank protection in project targeted area</t>
  </si>
  <si>
    <t>3.1.3.5: Safeguard plan implementation</t>
  </si>
  <si>
    <t>3.1.3.6: Provide financial and technical support to small scale green enterprises in project targeted area</t>
  </si>
  <si>
    <t xml:space="preserve">3.1.3.7: Provide financial and technical support to develop business plan </t>
  </si>
  <si>
    <t>Outcome 3.2: Improved management of the human-wildlife conflict</t>
  </si>
  <si>
    <r>
      <t xml:space="preserve">Output 3.2.1: </t>
    </r>
    <r>
      <rPr>
        <sz val="10"/>
        <rFont val="Calibri"/>
        <family val="2"/>
      </rPr>
      <t>Pilot method to reduce the wildlife accident in priority sites</t>
    </r>
  </si>
  <si>
    <t xml:space="preserve">3.2.1.1: Conduct study on the wildlife traffic accident issue </t>
  </si>
  <si>
    <t>3.2.1.2: Install tools/facilities to pilot measures to reduce accidents</t>
  </si>
  <si>
    <t xml:space="preserve">3.2.1.3: Support in operation and monitoring of wildlife related traffic accidents in highway </t>
  </si>
  <si>
    <t xml:space="preserve">3.2.1.4: Support to erect fence in both side of Sikta irrigation canal </t>
  </si>
  <si>
    <r>
      <t xml:space="preserve">Output 3.2.2: </t>
    </r>
    <r>
      <rPr>
        <sz val="10"/>
        <rFont val="Calibri"/>
        <family val="2"/>
      </rPr>
      <t>Training and facilities for human wildlife conflict response</t>
    </r>
  </si>
  <si>
    <t>3.2.2.1: Prepare species-specific guidelines for HWC management</t>
  </si>
  <si>
    <t xml:space="preserve">3.2.2.2: Pictorial manual on Wildlife identification and behavior in Nepali and local dialects </t>
  </si>
  <si>
    <t xml:space="preserve">3.2.2.3: Conduct training on identification and  behavior of wild animals to Divisional forest office staff </t>
  </si>
  <si>
    <t xml:space="preserve">3.2.2.4: Support Wildlife Rescue center </t>
  </si>
  <si>
    <t xml:space="preserve">3.2.2.5: Support wildlife rescue and handling equipment and training </t>
  </si>
  <si>
    <r>
      <t xml:space="preserve">Output 3.2.3: </t>
    </r>
    <r>
      <rPr>
        <sz val="10"/>
        <rFont val="Calibri"/>
        <family val="2"/>
      </rPr>
      <t>Community based HWC mitigate and preventive action implemented</t>
    </r>
  </si>
  <si>
    <t>3.2.3.1: Conduct workshop on preventive and curative measures for HWC</t>
  </si>
  <si>
    <t>3.2.3.2: Implement measures for HWC based on prepared plans (mentha plantation, biological/virtual fencing)</t>
  </si>
  <si>
    <t xml:space="preserve">3.2.3.3: Support to establish community-based insurance (crop, livestock) scheme </t>
  </si>
  <si>
    <t>3.2.3.4: Implement community-based reporting system of HWC incidents</t>
  </si>
  <si>
    <t>Outcome 3.3: Enhanced capacities of government agencies and community in curbing illegal wildlife crime</t>
  </si>
  <si>
    <r>
      <t xml:space="preserve">Output 3.3.1: </t>
    </r>
    <r>
      <rPr>
        <sz val="10"/>
        <rFont val="Calibri"/>
        <family val="2"/>
      </rPr>
      <t>Community Based Anti poaching Units functional in priority areas</t>
    </r>
  </si>
  <si>
    <t>3.3.1.1: Provide support for field gears to CBAPU members</t>
  </si>
  <si>
    <t>3.3.1.2: Provide technical and financial support for skill based training to CBAPU members</t>
  </si>
  <si>
    <t>3.3.1.3: Establish revolving fund to initiate green enterprise for CBAPUs member (link to above activities)</t>
  </si>
  <si>
    <r>
      <t xml:space="preserve">Output 3.3.2: </t>
    </r>
    <r>
      <rPr>
        <sz val="10"/>
        <rFont val="Calibri"/>
        <family val="2"/>
      </rPr>
      <t xml:space="preserve">Training and operation support to Park staff, rangers on wildlife crime management </t>
    </r>
  </si>
  <si>
    <t xml:space="preserve">3.3.2.1: Update training manual on illegal wildlife crime scene management </t>
  </si>
  <si>
    <t xml:space="preserve">3.3.2.2: Conduct training to investigation officers level on Illegal wildlife crime scene management </t>
  </si>
  <si>
    <t xml:space="preserve">3.3.2.3: Support Transboundary coordination at local level </t>
  </si>
  <si>
    <t xml:space="preserve">3.3.2.4: Field program implementation support &amp; coordination </t>
  </si>
  <si>
    <r>
      <t>Outcome 4.1:</t>
    </r>
    <r>
      <rPr>
        <sz val="11"/>
        <rFont val="Calibri"/>
        <family val="2"/>
        <scheme val="minor"/>
      </rPr>
      <t xml:space="preserve"> </t>
    </r>
    <r>
      <rPr>
        <b/>
        <sz val="10"/>
        <rFont val="Calibri"/>
        <family val="2"/>
        <scheme val="minor"/>
      </rPr>
      <t>Improved coordination and dialogue on integrated landscape management from the local to national level</t>
    </r>
  </si>
  <si>
    <r>
      <t xml:space="preserve">Output 4.1.1: </t>
    </r>
    <r>
      <rPr>
        <sz val="10"/>
        <rFont val="Calibri"/>
        <family val="2"/>
      </rPr>
      <t>Information on ILM importance shared among key stakeholders</t>
    </r>
  </si>
  <si>
    <t>4.1.1.1: Organize monthly dialogue through "Jaibik Chautari" (Biodiversity Platform) at field</t>
  </si>
  <si>
    <t>4.1.1.2: Organize annual technical thematic discussion session at center</t>
  </si>
  <si>
    <t xml:space="preserve"> 4.1.1.4: Establish and maintain online Landscape Knowledge Learning Platform (including project website)</t>
  </si>
  <si>
    <r>
      <t xml:space="preserve">Output 4.1.2: </t>
    </r>
    <r>
      <rPr>
        <sz val="10"/>
        <rFont val="Calibri"/>
        <family val="2"/>
      </rPr>
      <t>Mass awareness products on biodiversity conservation and integrated landscape management</t>
    </r>
  </si>
  <si>
    <t xml:space="preserve">4.1.2.1: Provide technical and financial support to green/eco-clubs formation and its operation </t>
  </si>
  <si>
    <t xml:space="preserve">4.1.2.2: Support annual meetings of green/eco-clubs network at district level </t>
  </si>
  <si>
    <t>4.1.2.3: Support special conservation events at local level</t>
  </si>
  <si>
    <t>4.1.2.4: Sensitize media (print and TV) on integrated landscape management</t>
  </si>
  <si>
    <t xml:space="preserve">4.1.2.5: Support radio program (local dialects) on ILM </t>
  </si>
  <si>
    <r>
      <t>Outcome 4.2:</t>
    </r>
    <r>
      <rPr>
        <sz val="11"/>
        <rFont val="Calibri"/>
        <family val="2"/>
        <scheme val="minor"/>
      </rPr>
      <t xml:space="preserve"> </t>
    </r>
    <r>
      <rPr>
        <b/>
        <sz val="10"/>
        <rFont val="Calibri"/>
        <family val="2"/>
        <scheme val="minor"/>
      </rPr>
      <t>Project monitoring system operates, systematically provides information on progress, and informs adaptive management to ensure results</t>
    </r>
  </si>
  <si>
    <r>
      <t xml:space="preserve">Output 4.2.1: </t>
    </r>
    <r>
      <rPr>
        <sz val="10"/>
        <rFont val="Calibri"/>
        <family val="2"/>
      </rPr>
      <t>Participatory planning and M&amp;E system</t>
    </r>
  </si>
  <si>
    <t>4.2.1.1: Organize project inception workshops at Kathmandu and field level</t>
  </si>
  <si>
    <t xml:space="preserve">4.2.1.2: PAC/PEC planning review workshop (Central and Field) </t>
  </si>
  <si>
    <t xml:space="preserve"> 4.2.1.3: Conduct periodic (trimester) workplan review and planning sessions</t>
  </si>
  <si>
    <t>4.2.1.4: Conduct periodic and joint monitoring visits</t>
  </si>
  <si>
    <t xml:space="preserve"> 4.2.1.5: Conduct Safeguard Monitoring visits</t>
  </si>
  <si>
    <t>4.2.1.6: Conduct training on "participatory monitoring and evaluation" to CFUGs and relevant sub-grantees</t>
  </si>
  <si>
    <t xml:space="preserve"> 4.2.1.7: Capacity building/training of PSU staff (on project management - WWF network standards, report writing and GESI and safeguard) </t>
  </si>
  <si>
    <t>4.2.1.8: Organize Project Mid-term review workshops with all key stakeholders</t>
  </si>
  <si>
    <t>4.9.1.9: Conduct Project Evaluations (Mid-term and terminal evaluation - GEF/SWC)</t>
  </si>
  <si>
    <t xml:space="preserve"> 4.2.1.10: Annual Financial Audit</t>
  </si>
  <si>
    <r>
      <t>Outcome 4.3:</t>
    </r>
    <r>
      <rPr>
        <sz val="11"/>
        <rFont val="Calibri"/>
        <family val="2"/>
        <scheme val="minor"/>
      </rPr>
      <t xml:space="preserve"> </t>
    </r>
    <r>
      <rPr>
        <b/>
        <sz val="10"/>
        <rFont val="Calibri"/>
        <family val="2"/>
        <scheme val="minor"/>
      </rPr>
      <t>Project lessons shared</t>
    </r>
  </si>
  <si>
    <r>
      <t xml:space="preserve">Output 4.3.1: </t>
    </r>
    <r>
      <rPr>
        <sz val="10"/>
        <rFont val="Calibri"/>
        <family val="2"/>
      </rPr>
      <t>Project lessons captured and disseminated to project stakeholders and to other projects and partners</t>
    </r>
  </si>
  <si>
    <t xml:space="preserve">4.3.1.1: Documentation on Traditional Knowledge associated to natural resources </t>
  </si>
  <si>
    <t>4.3.1.2: Prepare success stories and videos of the project</t>
  </si>
  <si>
    <t xml:space="preserve"> 4.3.1.3: Print case studies and periodic project reports </t>
  </si>
  <si>
    <t xml:space="preserve">4.3.1.4: Provide financial support to participate in national/international scientific forum for field staff </t>
  </si>
  <si>
    <t xml:space="preserve"> 4.3.1.5: Provide financial support to publish journal articles </t>
  </si>
  <si>
    <t xml:space="preserve">4.3.1.6: Field program implementation support &amp; coordination </t>
  </si>
  <si>
    <t xml:space="preserve"> 4.2.1.7: Organize final project lessons sharing workshop </t>
  </si>
  <si>
    <t xml:space="preserve">B. Project Management Costs </t>
  </si>
  <si>
    <t>Office and field running costs</t>
  </si>
  <si>
    <t>Project Management Unit</t>
  </si>
  <si>
    <t>56xx</t>
  </si>
  <si>
    <t xml:space="preserve">Insurance, Maintenance, Utility  </t>
  </si>
  <si>
    <t>Office Rent</t>
  </si>
  <si>
    <t>Equipment Running Cost</t>
  </si>
  <si>
    <t>Vehicle Running Costs (Vehicle Repair)</t>
  </si>
  <si>
    <t>Vehicle Running Costs (fuel for office purpose)</t>
  </si>
  <si>
    <t xml:space="preserve">Photocopying </t>
  </si>
  <si>
    <t xml:space="preserve">Postage &amp; Shipping </t>
  </si>
  <si>
    <t xml:space="preserve">Communications (phone, fax, internet) </t>
  </si>
  <si>
    <t xml:space="preserve">Supplies </t>
  </si>
  <si>
    <t>Field  program  implementation  support coordination (Staffs travel and Inhouse Meeting)</t>
  </si>
  <si>
    <t>Advertisment/Priniting and Publication</t>
  </si>
  <si>
    <t xml:space="preserve">Bank charges </t>
  </si>
  <si>
    <t>Capital Assets</t>
  </si>
  <si>
    <t>58xx</t>
  </si>
  <si>
    <t>Scanner</t>
  </si>
  <si>
    <t>Set</t>
  </si>
  <si>
    <t>LCD Projector with screen (1 for Kathmandu and 2 for Banke Office</t>
  </si>
  <si>
    <t>Camera</t>
  </si>
  <si>
    <t>Air Conditioners (3 for Banke Office)</t>
  </si>
  <si>
    <t xml:space="preserve">EPABX system setup </t>
  </si>
  <si>
    <t xml:space="preserve">Power backup system (inverter &amp; battery for Banke Office) </t>
  </si>
  <si>
    <t>Desktop Screen  (monitor)</t>
  </si>
  <si>
    <t>Vault for Kathmandu and Banke Office</t>
  </si>
  <si>
    <t>GPS (Banke Office)</t>
  </si>
  <si>
    <t xml:space="preserve">Spiral binding machine </t>
  </si>
  <si>
    <t>Air Cooler for Banke Office</t>
  </si>
  <si>
    <t>No.</t>
  </si>
  <si>
    <t>Microwave oven for Kathmandu Office</t>
  </si>
  <si>
    <t>Account Software (Activitywise reporting, VMS etc.)</t>
  </si>
  <si>
    <t>No</t>
  </si>
  <si>
    <t>Office 365 insallation, Sofware AMC etc</t>
  </si>
  <si>
    <t>times</t>
  </si>
  <si>
    <t>IT support</t>
  </si>
  <si>
    <t>Bridger Liscence (annual recurring cost)</t>
  </si>
  <si>
    <t xml:space="preserve">Office and restroom renovation, Kathmandu Office </t>
  </si>
  <si>
    <t>Times</t>
  </si>
  <si>
    <t xml:space="preserve">Equipment Motorbike  </t>
  </si>
  <si>
    <t xml:space="preserve">Personnel </t>
  </si>
  <si>
    <t>50xx</t>
  </si>
  <si>
    <t xml:space="preserve">Project Coordinator  </t>
  </si>
  <si>
    <t xml:space="preserve">Project Manager  </t>
  </si>
  <si>
    <t xml:space="preserve">Finance and Administration Manager </t>
  </si>
  <si>
    <t>Field Manager</t>
  </si>
  <si>
    <t xml:space="preserve">Field Program Officer </t>
  </si>
  <si>
    <t xml:space="preserve">Field Finance/Compliance Officer  </t>
  </si>
  <si>
    <t xml:space="preserve"> Field Monitoring, Evaluation and Learning (MEL) Officer </t>
  </si>
  <si>
    <t xml:space="preserve">Field Finance and Administration Associate </t>
  </si>
  <si>
    <t xml:space="preserve">Field Program Assistant (4) </t>
  </si>
  <si>
    <t>Front Desk Assistant _KTM</t>
  </si>
  <si>
    <t>Front Desk Assistant _Field</t>
  </si>
  <si>
    <t xml:space="preserve">Communication Officer (100% ) </t>
  </si>
  <si>
    <t>Field Safeguard and GESI Officer</t>
  </si>
  <si>
    <t xml:space="preserve">Office Messenger (2) </t>
  </si>
  <si>
    <t xml:space="preserve">Driver (2) </t>
  </si>
  <si>
    <t>GRAND TOTAL (A+B)</t>
  </si>
  <si>
    <t>YR 1</t>
  </si>
  <si>
    <t>Carry-over total (unspent funds from previous year)</t>
  </si>
  <si>
    <t>% achieved for activities overall</t>
  </si>
  <si>
    <t>Actual budget for previous project year</t>
  </si>
  <si>
    <t>Request of funds for Upcoming Project Year</t>
  </si>
  <si>
    <t>GL
CODE</t>
  </si>
  <si>
    <t>LMBIS
CODE</t>
  </si>
  <si>
    <t>ACT#
NO#</t>
  </si>
  <si>
    <t>COMPONENT / OUTCOME / OUTPUT/ACTIVITIES</t>
  </si>
  <si>
    <t>RESPONSIBLE</t>
  </si>
  <si>
    <t>TIMELINE</t>
  </si>
  <si>
    <t>UNIT
COST</t>
  </si>
  <si>
    <t>TOTAL
BUDGET</t>
  </si>
  <si>
    <t>Remarks</t>
  </si>
  <si>
    <t>COMPONENT</t>
  </si>
  <si>
    <t>TOTAL BUDGET</t>
  </si>
  <si>
    <t>BUDGET BIFUCATION</t>
  </si>
  <si>
    <t>Outcomes</t>
  </si>
  <si>
    <t>Com.1</t>
  </si>
  <si>
    <t>Com.2</t>
  </si>
  <si>
    <t>Com.3</t>
  </si>
  <si>
    <t>Com.4</t>
  </si>
  <si>
    <t>Mgmt.</t>
  </si>
  <si>
    <t>Jan-Mar
2021</t>
  </si>
  <si>
    <t>Apr-Jun
2021</t>
  </si>
  <si>
    <t>Jul-Sep
2021</t>
  </si>
  <si>
    <t>Oct-Dec
2021</t>
  </si>
  <si>
    <t>Jan-Mar
2022</t>
  </si>
  <si>
    <t>Apr-Jun
2022</t>
  </si>
  <si>
    <t>TOTAL
Budget</t>
  </si>
  <si>
    <t>TECHNICAL
ASSISTANCE</t>
  </si>
  <si>
    <t>PROGRAM
FUNDING</t>
  </si>
  <si>
    <t>TOTAL</t>
  </si>
  <si>
    <t>A. PERSONNEL COSTS</t>
  </si>
  <si>
    <t>Mo.</t>
  </si>
  <si>
    <t>B. ACTIVITY COST</t>
  </si>
  <si>
    <r>
      <t>Period:</t>
    </r>
    <r>
      <rPr>
        <sz val="16"/>
        <color rgb="FF003366"/>
        <rFont val="Calibri"/>
        <family val="2"/>
      </rPr>
      <t xml:space="preserve"> Year 2 (July 21 - June 22) (FY 78/79)</t>
    </r>
  </si>
  <si>
    <t>YR 2</t>
  </si>
  <si>
    <r>
      <t>Period:</t>
    </r>
    <r>
      <rPr>
        <sz val="16"/>
        <color rgb="FF003366"/>
        <rFont val="Calibri"/>
        <family val="2"/>
      </rPr>
      <t xml:space="preserve"> Year 3 (July 22 - June 23) (FY 79/80)</t>
    </r>
  </si>
  <si>
    <t>Unit Cost</t>
  </si>
  <si>
    <t>in Rupee</t>
  </si>
  <si>
    <t>Event</t>
  </si>
  <si>
    <t>MoTIFE/MoFESC</t>
  </si>
  <si>
    <t>Meetings</t>
  </si>
  <si>
    <t>Multistakeholder meeting</t>
  </si>
  <si>
    <t>Workshop</t>
  </si>
  <si>
    <t>Report</t>
  </si>
  <si>
    <t>BaNP/BNP</t>
  </si>
  <si>
    <t>District cell?</t>
  </si>
  <si>
    <t>Month of staff support/ travel</t>
  </si>
  <si>
    <t>Training</t>
  </si>
  <si>
    <t>Orientation</t>
  </si>
  <si>
    <t>DFO-B/DFO-P</t>
  </si>
  <si>
    <t>grant package</t>
  </si>
  <si>
    <t>Study</t>
  </si>
  <si>
    <t>Consultations</t>
  </si>
  <si>
    <t>Dissemination of threats, values, land uses, etc to priority villages and forest areas in the targeted PA buffer zones and corridors</t>
  </si>
  <si>
    <t>Orientations</t>
  </si>
  <si>
    <t>2.2.2.1: Provide financial support to develop State forest sector strategies (including Community Forests, Protected Forests and Leash-hold Forest)</t>
  </si>
  <si>
    <t>Strategy</t>
  </si>
  <si>
    <t xml:space="preserve">2.2.2.2: Support CFUGs and BZ CFUGs to develop/revise forest operational plan (GESI aspect is revised/incorporated) </t>
  </si>
  <si>
    <t>DFO</t>
  </si>
  <si>
    <t>Support to CFUGs</t>
  </si>
  <si>
    <t xml:space="preserve">2.2.2.3: Field program implementation support &amp; coordination </t>
  </si>
  <si>
    <t>Manual</t>
  </si>
  <si>
    <t>MoITFE/MoEFSC</t>
  </si>
  <si>
    <t>Support package</t>
  </si>
  <si>
    <t>Support Package</t>
  </si>
  <si>
    <t>BaNP/BNP/DFO-P/DFP-B</t>
  </si>
  <si>
    <t>DFO-P/DFP-B</t>
  </si>
  <si>
    <t>No.?</t>
  </si>
  <si>
    <r>
      <rPr>
        <b/>
        <sz val="11"/>
        <color theme="1"/>
        <rFont val="Calibri"/>
        <family val="2"/>
        <scheme val="minor"/>
      </rPr>
      <t>Output 3.1.2</t>
    </r>
    <r>
      <rPr>
        <sz val="11"/>
        <color theme="1"/>
        <rFont val="Calibri"/>
        <family val="2"/>
        <scheme val="minor"/>
      </rPr>
      <t>: Technical support to CFUGs, BZCFUGs and land holders for forest management</t>
    </r>
  </si>
  <si>
    <t>Support to BZUCs</t>
  </si>
  <si>
    <t>Coaching Event</t>
  </si>
  <si>
    <t>DFO/Park</t>
  </si>
  <si>
    <t>Ha supported</t>
  </si>
  <si>
    <r>
      <rPr>
        <b/>
        <sz val="11"/>
        <color theme="1"/>
        <rFont val="Calibri"/>
        <family val="2"/>
        <scheme val="minor"/>
      </rPr>
      <t>Output 3.1.3</t>
    </r>
    <r>
      <rPr>
        <sz val="11"/>
        <color theme="1"/>
        <rFont val="Calibri"/>
        <family val="2"/>
        <scheme val="minor"/>
      </rPr>
      <t>: Forests and associated habitat in priority buffer zones and corridors managed sustainably</t>
    </r>
  </si>
  <si>
    <t>Households supported</t>
  </si>
  <si>
    <t>?</t>
  </si>
  <si>
    <t>BNP/BaNP</t>
  </si>
  <si>
    <t>Guideline</t>
  </si>
  <si>
    <t>Park</t>
  </si>
  <si>
    <t>Construction of rescue center</t>
  </si>
  <si>
    <t>BaNP/BNP?DFO-B/DFO-P</t>
  </si>
  <si>
    <t>BNP</t>
  </si>
  <si>
    <t>BNP/DFO-B</t>
  </si>
  <si>
    <t>Monthly meetings?</t>
  </si>
  <si>
    <t>Discussion convened</t>
  </si>
  <si>
    <t>Platform established w/ website</t>
  </si>
  <si>
    <t>Eco-clubs supported</t>
  </si>
  <si>
    <t>Events</t>
  </si>
  <si>
    <t>Package?</t>
  </si>
  <si>
    <t>Audio programs supported</t>
  </si>
  <si>
    <t>workshops</t>
  </si>
  <si>
    <t>Sessions</t>
  </si>
  <si>
    <t>Monitoring visits</t>
  </si>
  <si>
    <t>Visits</t>
  </si>
  <si>
    <t>Training package</t>
  </si>
  <si>
    <t>Package</t>
  </si>
  <si>
    <t>Staff travel and DSA</t>
  </si>
  <si>
    <t xml:space="preserve">Office Utility  </t>
  </si>
  <si>
    <t>Months</t>
  </si>
  <si>
    <t>Office Maintenance</t>
  </si>
  <si>
    <t>Office Insurance</t>
  </si>
  <si>
    <t>LS</t>
  </si>
  <si>
    <t>Cupboard/File Racks ( for Banke and  for Kathmandu Office)</t>
  </si>
  <si>
    <t>Office Board/Notice boards etc</t>
  </si>
  <si>
    <t>Nos</t>
  </si>
  <si>
    <t xml:space="preserve">Laptop  (with dock-in set) </t>
  </si>
  <si>
    <t>Data Backup/Hard Drive</t>
  </si>
  <si>
    <t>CC Camera for Banke Office</t>
  </si>
  <si>
    <t xml:space="preserve">Printers </t>
  </si>
  <si>
    <t>Office Table</t>
  </si>
  <si>
    <t>Mixture</t>
  </si>
  <si>
    <t>Cameras</t>
  </si>
  <si>
    <t>Revolving Chairs</t>
  </si>
  <si>
    <t>Projector-Portable</t>
  </si>
  <si>
    <t>Projector-Screen</t>
  </si>
  <si>
    <t>Account Software (Activitywise reporting, AMC etc.)</t>
  </si>
  <si>
    <t>YR 3</t>
  </si>
  <si>
    <r>
      <t>Period:</t>
    </r>
    <r>
      <rPr>
        <sz val="16"/>
        <color rgb="FF003366"/>
        <rFont val="Calibri"/>
        <family val="2"/>
      </rPr>
      <t xml:space="preserve"> Year 4 (July 23 - June 24) (FY 80/81)</t>
    </r>
  </si>
  <si>
    <t>Additonal Notes</t>
  </si>
  <si>
    <t>Safeguard issues</t>
  </si>
  <si>
    <t>Measures</t>
  </si>
  <si>
    <t>IPPF</t>
  </si>
  <si>
    <t>GESI intigration</t>
  </si>
  <si>
    <t>Act#</t>
  </si>
  <si>
    <t>Activity</t>
  </si>
  <si>
    <t>Policy on natural habitat</t>
  </si>
  <si>
    <t>Policy on involuntary resettlement</t>
  </si>
  <si>
    <t>Policy on indigenous people</t>
  </si>
  <si>
    <t>Policy on pest management</t>
  </si>
  <si>
    <t>Proposed mitigating activities</t>
  </si>
  <si>
    <t>FPIC needed or not</t>
  </si>
  <si>
    <t>IP organization direct collaboration possible or not</t>
  </si>
  <si>
    <t>Livelihood restoration plan</t>
  </si>
  <si>
    <t>Action to be taken during implementation</t>
  </si>
  <si>
    <t>Trigger or not</t>
  </si>
  <si>
    <t>Action points</t>
  </si>
  <si>
    <t>Additional information</t>
  </si>
  <si>
    <t>Technical Assistance - WWF GEF Part</t>
  </si>
  <si>
    <t>COMPONENT 1: National capacity and enabling environment for cross-sectoral coordination</t>
  </si>
  <si>
    <t xml:space="preserve">Outcome 1.1: Improved inter-sectoral coordination from Federal, State to Local level </t>
  </si>
  <si>
    <r>
      <rPr>
        <b/>
        <sz val="10"/>
        <color rgb="FF000000"/>
        <rFont val="Calibri"/>
        <family val="2"/>
      </rPr>
      <t xml:space="preserve">Output 1.1.1 : </t>
    </r>
    <r>
      <rPr>
        <sz val="10"/>
        <color rgb="FF000000"/>
        <rFont val="Calibri"/>
        <family val="2"/>
      </rPr>
      <t>Cross-sectoral coordination mechanisms established to support integrated landscape management for conservation outcomes at different levels</t>
    </r>
  </si>
  <si>
    <t>MOFE/DOFSC/DNPWC/MITFE/PMU</t>
  </si>
  <si>
    <t>1.1.1.1</t>
  </si>
  <si>
    <t>Support includes meeting logistics and office equipment to MoFE, To make unit trackable - PMU will update the workplan during implementation whether it will be meeting logistic support or equipment</t>
  </si>
  <si>
    <t>Yes</t>
  </si>
  <si>
    <t>1.Sensitize for inclusive participation during project communication  (e.g. regular briefing on GESI perspective)
2. Ensure at least 33% female participants in the coordination mechanism (Representation of women, dalits, ethnic and indigenous peoples (where applicable)
3. Ensure coordination mechanism listens and value the idea, perception and needs of women, dalit, janjati, poor and marginalized people of the community (Do no harm and safeguard women, dalit, janjati and poor adn marginalized people)</t>
  </si>
  <si>
    <t>Since the project falls under category "B", the environmental and social safeguards issues does not seem relevant largely in activities under  component 1, 2 and 4, however, stakeholders will be regularly sensitized with safeguards and GESI policies/provisions of the ILaM project including process facilitation</t>
  </si>
  <si>
    <t>MOFE/DOFSC/DNPWC/MITFE</t>
  </si>
  <si>
    <t>1.1.1.2</t>
  </si>
  <si>
    <t>1.1.1.3</t>
  </si>
  <si>
    <t>States (MoEFSC - Sudurpaschim, Lumbini, Madesh , Bagmati, Karnali province)  will receive institutional support after formation of province level BCC to enhance understanding and adoption of Integrated Landscape Management</t>
  </si>
  <si>
    <t>Meeting</t>
  </si>
  <si>
    <t>1.1.1.4</t>
  </si>
  <si>
    <t>Multistakeholder meeting organized focussing on widlife friendly infrastructure promotion</t>
  </si>
  <si>
    <t>PMU/DNPWC/MITFE</t>
  </si>
  <si>
    <t>1.1.1.5</t>
  </si>
  <si>
    <t>Enhancing inter-state coordination on ILM works through organizing interaction on ILM based on NBSAP and TAL strategy, 1 event of meeting workshop will be organized at province level (Lumbini Province)</t>
  </si>
  <si>
    <t>1.1.1.6</t>
  </si>
  <si>
    <t>At least 20  Local governments will be sensitized about importance of ILM and coordinate/faciliate in LG's planning process and will be oriented on TAL and NBSAP strategy</t>
  </si>
  <si>
    <t>1.Sensitize for inclusive participation during project communication  (e.g. regular briefing on GESI perspective)
2. Ensure at least 33% female participants in the meetings (Representation of women, dalits, ethnic and indigenous peoples (where applicable)
3. Ensure coordination mechanism listens and value the idea, perception and needs of women, dalit, janjati, poor and marginalized people of the community (Do no harm and safeguard women, dalit, janjati and poor adn marginalized people)</t>
  </si>
  <si>
    <t>1.1.1.7</t>
  </si>
  <si>
    <t>1.1.1.8 Provide technical and financial support to WCCB</t>
  </si>
  <si>
    <t>District cell</t>
  </si>
  <si>
    <t>1.1.1.8</t>
  </si>
  <si>
    <t xml:space="preserve"> WCCBs (district level) will be strengthend through institutional support</t>
  </si>
  <si>
    <t xml:space="preserve">1.Support women friendly tools
2. Advocacy for inclusive WCCB </t>
  </si>
  <si>
    <t>PMU/BaNP/BNP</t>
  </si>
  <si>
    <t>Month</t>
  </si>
  <si>
    <t>1.1.1.9</t>
  </si>
  <si>
    <t>Package includes cost for project staff's travel cost (Transportation and DSA) to support grantee partners  in activity implementation and coordination. Also includes monitoring cost to grantee partners</t>
  </si>
  <si>
    <t>ILM coordinators trained</t>
  </si>
  <si>
    <t>1.2.1.1</t>
  </si>
  <si>
    <t>ILM coordinators working in biodiversity conservation in TAL will be capacited on ILM through international exposures. Capacitated officials are expected to engage to replicate pragmatic approaches and new knowledge in landscape management.</t>
  </si>
  <si>
    <t xml:space="preserve">1.Sensitize for inclusive participation during project communication  (e.g. regular briefing on GESI perspective and synergies across all level)
2. Ensure 30% female participation (Representation of women, dalits, ethnic and indigenous peoples) with meaninfgul representation in the decision making process
</t>
  </si>
  <si>
    <t>1.2.2.1</t>
  </si>
  <si>
    <t>At least 20 government staffs (state and federal staffs) will be given training with 2 training package</t>
  </si>
  <si>
    <t xml:space="preserve">Yes </t>
  </si>
  <si>
    <t>Yes. ensure meaningful participation of IPs group, women's group and dalit groups in the consultation process with quality representation in decision making process</t>
  </si>
  <si>
    <t>1.Sensitize for inclusive participation during project communication  (e.g. regular briefing on GESI perspective and synergies across all level)
2. Ensure 50% female participation (Representation of women, dalits, ethnic and indigenous peoples) with meaninfgul representation in the decision making process
1. The training manual must include GESI component related to conservation, cover GESI sensitive curriculum/topics, positive change in social norms approach in conservation
2. Use participatory training methods
3. Develop pre-test, post-test questionnaire as an integral part of manual</t>
  </si>
  <si>
    <t>1.2.2.2</t>
  </si>
  <si>
    <t>At least 30 government staffs (state and federal staffs) will be given training with 3 training package</t>
  </si>
  <si>
    <t>1.2.2.3</t>
  </si>
  <si>
    <t>Training to national park staff on roles and responsibilites. trainee will be identified with inclusive representation</t>
  </si>
  <si>
    <t>Capacity  building on GESI concepts and mainstreaming methodologies</t>
  </si>
  <si>
    <t>1.2.2.4</t>
  </si>
  <si>
    <t xml:space="preserve"> Training package - In coordination with Division Forest officials, trainee will be identified with inclusive representation</t>
  </si>
  <si>
    <t>Capacity building on GESI concepts and mainstreaming methodologies</t>
  </si>
  <si>
    <t>Grants</t>
  </si>
  <si>
    <t>1.2.3.1</t>
  </si>
  <si>
    <t>Capacity Enhancement of research skills and capacity of university students on ILM and enhance broadening of  knowledge through possible journal papers, newspaper articles, blogs and thesis reports</t>
  </si>
  <si>
    <t xml:space="preserve">Include Safeguards and GESI research theme </t>
  </si>
  <si>
    <t>Yes; consultation and meaningful participation of IPs should be ensured when applicable</t>
  </si>
  <si>
    <t>1. GESI-sensitive selection criteria are used for the selection of Bachelor’s and Master’s degree students
2. Follow participatory method in community consultation processes
3. Ensure 50% female participants (Representation of women, dalits, ethnic and indigenous peoples) with meaningful participation in the decision making processes</t>
  </si>
  <si>
    <t>1.2.3.2</t>
  </si>
  <si>
    <t>Includes study, action research or scientific research and on the ground interventions as well. However priority will be given to academic institutions in research and extension work related to NRM and biodiversity Conservation in TAL corridors and PA buffer zones that will help address threats and barriers in achieveing overall project objective</t>
  </si>
  <si>
    <t>1. GESI-sensitive selection criteria are used for identifying local CBOs/CSOs to provide grants (i.e. ensuring an equal percentage of women-led CBOs/CSOs have access to grants, as much as possible)
2. Ensure 50% female participation (Representation of women, dalits, ethnic and indigenous peoples) with meaningful representation in the decision making processes during capacity enhacement trainings and participations</t>
  </si>
  <si>
    <t>PMU/DNPWC/MoEFSC</t>
  </si>
  <si>
    <t>1.2.3.3</t>
  </si>
  <si>
    <t>Include infrastructure, equipments and research (HWC management, species management), study, capacity development training to government officials and scientific research. Priority in TAL area</t>
  </si>
  <si>
    <t>1. Ensure at least 33% female participation (Representation of women, dalits, ethnic and indigenous peoples) with meaningful representation in the decision making process in selection of participants (awardees) and conduction of consultation meetings with community</t>
  </si>
  <si>
    <t>2.1.1.1</t>
  </si>
  <si>
    <t>BaNP/BNP/ DFO-B/ DFO-P</t>
  </si>
  <si>
    <t>Assessment</t>
  </si>
  <si>
    <t>2.1.1.2</t>
  </si>
  <si>
    <t>Preparation of existing forest encorachment status in BaNPBZ, BNP BZ, Kamdi corridor, Karnali corriodr, Brahmadev Corridor and Dang District report considering GESI aspect and necessary safeguard management aspects</t>
  </si>
  <si>
    <t>1. Ensure Natural Habitat degradation ascpect, IPs socio-economic and access restriction status in the survey design</t>
  </si>
  <si>
    <t>Yes; prepare on the basis of screnning</t>
  </si>
  <si>
    <t>1. Consultations with IPs, Womens' Group and Dalits</t>
  </si>
  <si>
    <t>1.Sensitize for inclusive participation during project communication  (e.g. regular briefing on GESI perspective)
2. Ensure 50% female participation (Representation of women, dalits, ethnic and indigenous peoples)</t>
  </si>
  <si>
    <t>2.1.1.3</t>
  </si>
  <si>
    <t>2.2.1.1</t>
  </si>
  <si>
    <t>Update assessment report (Prepared on FY 2021) based on year 1 and year 2 implementation status and learning</t>
  </si>
  <si>
    <t>Yes; incorporate the habitat degradation status and patch areas in the assessment</t>
  </si>
  <si>
    <t>Yes; analyze any access  restriction issues</t>
  </si>
  <si>
    <t>Yes; ensure meaningful participation IPs</t>
  </si>
  <si>
    <t>1.Ensure habitat degradatio, patch areas   identification, access restriction issues
2. Ensure meaningful participation of IPS, women's group and dalit groups</t>
  </si>
  <si>
    <t>Yes; Report any as such requred  during the consultative process</t>
  </si>
  <si>
    <t>Ensure meaningful participation of IPS</t>
  </si>
  <si>
    <t>1.Sensitize for inclusive participation during project communication  (e.g. regular briefing on GESI perspective)
2. Ensure at least 50% female participants (Representation of women, dalits, ethnic and indigenous peoples)</t>
  </si>
  <si>
    <t>2.2.1.2</t>
  </si>
  <si>
    <t>Resource mapping with expert supports BaNP BZ, BNP BZ, Kamdi and Karnali corridor</t>
  </si>
  <si>
    <t>1. Ensure issues of IPs, Dalits and Women's group</t>
  </si>
  <si>
    <t>2.2.1.3</t>
  </si>
  <si>
    <t>At least 60 events of consultation meetings  and co-ordinaton meetings will be conducted with the identified communities. Based on the forest and community Participatory Assessment Report (updated) to facilitate implementation of project activities including safeguard orientation</t>
  </si>
  <si>
    <t>Yes; discuss on habitat degradation issues</t>
  </si>
  <si>
    <t>Yes; analyze any access  restriction issues and mitigation strategies</t>
  </si>
  <si>
    <t>Yes; participate IPs in consultation process</t>
  </si>
  <si>
    <t>Yes; on the basis of consultation</t>
  </si>
  <si>
    <t>Ensure meaningful participatoin of IPs/ in consultation process and in decision making processs</t>
  </si>
  <si>
    <t>1.Sensitize for inclusive participation during project communication  (e.g. regular briefing on GESI perspective)
2. Ensure 50% female participants (Representation of women, dalits, ethnic and indigenous peoples) with meaningful participation in decision making process</t>
  </si>
  <si>
    <t>Stradegy study</t>
  </si>
  <si>
    <t>Province level forest sector strategy will be prepared keeping integrated landscape approach in consideration (PMU-Madesh, Karnali and Bagmati)</t>
  </si>
  <si>
    <t>Yes; as per the report</t>
  </si>
  <si>
    <t>CFUGs meetings</t>
  </si>
  <si>
    <t>Incorporation of GESI aspects in operational plans will be prioritized.</t>
  </si>
  <si>
    <t>Yes; review the natural habitat degradation</t>
  </si>
  <si>
    <t>Yes; review any access restriction issues in the plan</t>
  </si>
  <si>
    <t xml:space="preserve">1. Yes; ensure meaningful participation of IPs in revision process
</t>
  </si>
  <si>
    <t xml:space="preserve">Explore true collaboration and agreement </t>
  </si>
  <si>
    <t>Yes; ensure meaningful  participation of Ips</t>
  </si>
  <si>
    <t>Ensure meaningful participatoin of IPs/ in consultation process and in decision making processs with true collaboration adn agreement</t>
  </si>
  <si>
    <t>1.Sensitize for inclusive participation during project communication  (e.g. regular briefing on GESI perspective)
2. Ensure 50% female participation (Representation of women, dalits, ethnic and indigenous peoples) with meaningful participation in decision making process</t>
  </si>
  <si>
    <r>
      <t xml:space="preserve">Output 2.2.3: </t>
    </r>
    <r>
      <rPr>
        <sz val="10"/>
        <rFont val="Calibri"/>
        <family val="2"/>
      </rPr>
      <t xml:space="preserve">Strategic framework for corridor management developed and management plans prepared or revised for all seven TAL corridors / protected forests  </t>
    </r>
  </si>
  <si>
    <t xml:space="preserve">2.2.3.1: Develop a gender and inclusion responsive guideline (GIRD)  to prepare management plans of PF/Corridors </t>
  </si>
  <si>
    <t>Guidelines</t>
  </si>
  <si>
    <t>2.2.3.1</t>
  </si>
  <si>
    <t>Guideline to be prepared with expert support of Kamdi Corridor</t>
  </si>
  <si>
    <t>2.2.3.2: Support to revise PF / Corridor Management Plans  through a participatory process</t>
  </si>
  <si>
    <t>Plans</t>
  </si>
  <si>
    <t>2.2.3.2</t>
  </si>
  <si>
    <t>Prepare corridor management plan with experts' support (Kamdi, Karnali, Brahmhadev, Barandabhar Corridor)</t>
  </si>
  <si>
    <t xml:space="preserve">2.2.3.3: Field program implementation support &amp; coordination </t>
  </si>
  <si>
    <t>2.2.3.3</t>
  </si>
  <si>
    <t>Package includes cost for project staff's travel and DSA to support grantee partners  in activity implementation and coordination. Along with monitoring cost to grantee partners</t>
  </si>
  <si>
    <t>COMPONENT 3: Forest and HWC management for improved conservation of targeted PA buffer zones and corridors in the TAL</t>
  </si>
  <si>
    <t>Manaul</t>
  </si>
  <si>
    <t>3.1.1.1</t>
  </si>
  <si>
    <t>Prepare SFM training manual with experts support</t>
  </si>
  <si>
    <t>No of training</t>
  </si>
  <si>
    <t>3.1.1.2</t>
  </si>
  <si>
    <t>Training cost- Lumbini province</t>
  </si>
  <si>
    <t>a. Ensure GESI component related with the conservation in the manual
b. Ensure participatory training methods in the manual
3. Ensure GESI pre-test, post-test questionnaire as a part of manual</t>
  </si>
  <si>
    <t>3.1.1.3</t>
  </si>
  <si>
    <t>Sudurpaschim province ministry will develop system</t>
  </si>
  <si>
    <t>3.1.1.4</t>
  </si>
  <si>
    <t>support</t>
  </si>
  <si>
    <t>3.1.1.5</t>
  </si>
  <si>
    <t>Sites or CFUGs  identified as most vulnerable to forest fire in project sites will be supported with forest fire management tools</t>
  </si>
  <si>
    <t>Explore any collaboration and agreement with Ips for effective tools</t>
  </si>
  <si>
    <t>Yes; ensure meaningful participation of IPs</t>
  </si>
  <si>
    <t xml:space="preserve">1. Ensure meaningful participation of  women's, dalit and IPs groups </t>
  </si>
  <si>
    <t xml:space="preserve">1. Ensure 50% female beneficiaries receiving tools </t>
  </si>
  <si>
    <t>nursery</t>
  </si>
  <si>
    <t>3.1.1.6</t>
  </si>
  <si>
    <t>DFOs will establish a nursery  including infrastructures and produce multi-year seedlings to make available to local communities in forest restoration sites, private and agro-forestry promotion sites</t>
  </si>
  <si>
    <t>Yes; ensure selection of quality species suitable for wildlife and biodiversity</t>
  </si>
  <si>
    <t xml:space="preserve">Ensure invasive species are not promoted, and IPs are consulted </t>
  </si>
  <si>
    <t xml:space="preserve">Ensure 60% female, 20% IPs and 5% dalits as beneficiaries
</t>
  </si>
  <si>
    <t>training</t>
  </si>
  <si>
    <t>3.1.2.1</t>
  </si>
  <si>
    <t>Training to CFUGs on sustainable forest management and restoration, ensuring equitable access to all members and gender dimensions in training opportunities</t>
  </si>
  <si>
    <t>visits</t>
  </si>
  <si>
    <t>3.1.2.2</t>
  </si>
  <si>
    <t>Exchange visit to TAL Nepal and TAL India for BZUCs/BZCFUG members on HWC management including BZ focal points in National Park offices, ensuring equitable access to all members and gender dimensions in training opportunities</t>
  </si>
  <si>
    <t>Yes; participate NEFIN/FECOFUN  in the exchangie visits</t>
  </si>
  <si>
    <t>BZUCs annual meetings supported</t>
  </si>
  <si>
    <t>3.1.2.3</t>
  </si>
  <si>
    <t>Logistics support for annual meetings of BZUCs</t>
  </si>
  <si>
    <t>coaching sessions</t>
  </si>
  <si>
    <t>3.1.2.4</t>
  </si>
  <si>
    <t>Training costs for CFUGs and BZUCs, ensuring equitable access to all members and gender dimensions in training opportunities</t>
  </si>
  <si>
    <t>Ha</t>
  </si>
  <si>
    <t>3.1.2.5</t>
  </si>
  <si>
    <t>Multi-year seedlings and necessary tools/equipment (solar pumps/hand pumps/barbed wires) supports will be provided to individuals/group  for private forest development. Number of beneficiaires (grantees will be identified after community consultations)</t>
  </si>
  <si>
    <t>1. Promote indigenous species plantation
2. Discourage use of pesticides</t>
  </si>
  <si>
    <t>Include in half yearly and yearly monitoring trip</t>
  </si>
  <si>
    <t>No of forest</t>
  </si>
  <si>
    <t>3.1.2.6</t>
  </si>
  <si>
    <t>Administration cost support to private forest owners in registration process</t>
  </si>
  <si>
    <t>Prioritize 50% women's for their ownership in registration</t>
  </si>
  <si>
    <t>3.1.3.1</t>
  </si>
  <si>
    <t>Creation of revolving fund to implement forest operational plans in project targeted corridors and Buffer zones</t>
  </si>
  <si>
    <t xml:space="preserve">Yes; consultation and consent of community people should be ensured </t>
  </si>
  <si>
    <t>Yes; involve IPsin the consultation meetings</t>
  </si>
  <si>
    <t>Ensure meaningful participation of IPs, Women and dalits</t>
  </si>
  <si>
    <t>yes</t>
  </si>
  <si>
    <t>Households</t>
  </si>
  <si>
    <t>3.1.3.2</t>
  </si>
  <si>
    <t>To reduce pressure on wildlife habitat, alternative packages including cement trough, fodder seedlings will be supported to households who are more dependent on forest resources in nearby corridor forest/ buffer zone forest</t>
  </si>
  <si>
    <t>Ensure proper consultation and meaningful participation of Ips</t>
  </si>
  <si>
    <t>1. Prepare LRP first and then support</t>
  </si>
  <si>
    <t xml:space="preserve">
1. Ensure 60% female, 20% Ips, and 10% dalit beneficiaries for livestock management support</t>
  </si>
  <si>
    <t>3.1.3.3</t>
  </si>
  <si>
    <t xml:space="preserve">Package includes Habitat improvement in BaNP and its buffer zone, BNP and its buffer zone, Kamdi corridors and Karnali corridors (330 Ha. grassland and 26 wetlands) including technical backstopping and monitoring cost to grantee partners. Park offices  will prioritize implementation sites in core area of national park and buffer zone </t>
  </si>
  <si>
    <t>Conduct screening, categorization</t>
  </si>
  <si>
    <t xml:space="preserve">1. Ensure meaningful participation of IPs, Dalit and women's group
2. Develop LRP </t>
  </si>
  <si>
    <t>3.1.3.4</t>
  </si>
  <si>
    <t>Pacckage includes river training works, biological measures to be appliced to control river cutting, construction materials purchase and transporation. Area (forest and agriculture land to be protected/restored after river bank protection to be calculated during details sites identification and implementation plan preparation.</t>
  </si>
  <si>
    <t xml:space="preserve">1. Ensure wildlife friendly structure
</t>
  </si>
  <si>
    <t>1. Consent from IPs</t>
  </si>
  <si>
    <t>plan/s</t>
  </si>
  <si>
    <t>3.1.3.5</t>
  </si>
  <si>
    <t>Package includes the support to needy households and communities to safeguard IP&amp;LC rights to natural resources, and local community needs. The activities will be prepared after the community consultation planned in 2.2.1.3. The livelihood restoration plan and IPPF will be key guiding documents to unfold packages. An exposure visit of project stakeholders focusing on social and environmental safeguards and grievance mechanisms will be organized. Capacity development of local people and project stakeholders on grievance mechanism (brochure/ FAQ, training/workshop, display boards)</t>
  </si>
  <si>
    <t>Ensure Environmental and Social Safeugards along with GESI polices are adhered as per the document</t>
  </si>
  <si>
    <t>enterprise</t>
  </si>
  <si>
    <t>3.1.3.6</t>
  </si>
  <si>
    <t>Package includes support for small infrastructures and capacity development, ensuring gender balance in green enterprise promotion and equitable access to women-led enterprises</t>
  </si>
  <si>
    <t>1. Promote indigenous species</t>
  </si>
  <si>
    <t>Preference to highly marginalized community</t>
  </si>
  <si>
    <t>3.1.3.7</t>
  </si>
  <si>
    <t>Technical support with expert members on green enterprises business plan preparation, ensuring gender balance and equitable access to women-led enterprises in training in business planning</t>
  </si>
  <si>
    <t>Ensure meaningful participation of Ips, dalit and womens group</t>
  </si>
  <si>
    <t>1. Involve IPs in business plan preparation</t>
  </si>
  <si>
    <t xml:space="preserve">Ensure at least 60% female, 25% Ips and 10% dalit beneficiaries  for project related loans for community level enterprise and livelihood support </t>
  </si>
  <si>
    <t>3.2.1.1</t>
  </si>
  <si>
    <t>3.2.1.2</t>
  </si>
  <si>
    <t>Package includes technology installment that are effective in Bardia National Park and its buffer zone area</t>
  </si>
  <si>
    <t>1. Consult with IPs/beneficiaries for possible solutions to reduce the accidents</t>
  </si>
  <si>
    <t>Ensure gender friendly tools are installed</t>
  </si>
  <si>
    <t>monitoring</t>
  </si>
  <si>
    <t>3.2.1.3</t>
  </si>
  <si>
    <t xml:space="preserve">Package includes technology, capacity development and monitoring cost </t>
  </si>
  <si>
    <t>Research on gender perspective accidents in the highway</t>
  </si>
  <si>
    <t>3.2.1.4</t>
  </si>
  <si>
    <t>Construction of fence in both side of Sikta irrigation canal</t>
  </si>
  <si>
    <t>1. Support highly marginalized community with livelihood restoration support</t>
  </si>
  <si>
    <t>1. Meeting with CFUG/BZUC for FPIC and suitable measures</t>
  </si>
  <si>
    <t>guideline</t>
  </si>
  <si>
    <t>3.2.2.1</t>
  </si>
  <si>
    <t>Focus will be tiger as number of tiger-human incidents increased in project site</t>
  </si>
  <si>
    <t>1. The guidelines should involve natural habitat, IPs and access restriction issue</t>
  </si>
  <si>
    <t>Ensure meaningful participation of Ips</t>
  </si>
  <si>
    <t>Ensure 50% female participation along with Ips and dalits in the consultation meetings</t>
  </si>
  <si>
    <t>manual</t>
  </si>
  <si>
    <t>3.2.2.2</t>
  </si>
  <si>
    <t>Manual preparation and printing</t>
  </si>
  <si>
    <t>Ensure gender friendly dialect</t>
  </si>
  <si>
    <t>3.2.2.3</t>
  </si>
  <si>
    <t>Training package development with curriculam and conduct training to division forest staff</t>
  </si>
  <si>
    <t>1.Sensitize for inclusive participation during project communication  (e.g. regular briefing on GESI perspective)
2. Ensure at least 30% female participation (Representation of women, dalits, ethnic and indigenous peoples)</t>
  </si>
  <si>
    <t>Centre</t>
  </si>
  <si>
    <t>3.2.2.4</t>
  </si>
  <si>
    <t>Strengthening of wildlife rescue center in BNP with equipments and facilities</t>
  </si>
  <si>
    <t>Ensure awareness among nearby communities</t>
  </si>
  <si>
    <t>Yes; on the basis of FPIC</t>
  </si>
  <si>
    <t>Prepare plan on the basis of consultation with IPs, Dalits and women's group</t>
  </si>
  <si>
    <t>1.Sensitize for inclusive participation during project communication  (e.g. regular briefing on GESI perspective)
2. Ensure  at least 33% female participation (Representation of women, dalits, ethnic and indigenous peoples)</t>
  </si>
  <si>
    <t>3.2.2.5</t>
  </si>
  <si>
    <t>Activities includes rescue of wildlife, equipments/tools purchase to handle wildlife and training conduction (if needed)</t>
  </si>
  <si>
    <t>1. Ensure 50% female participants in the training
2. Manual should include GESI mainstreaming methodologies</t>
  </si>
  <si>
    <t>workshop</t>
  </si>
  <si>
    <t>3.2.3.1</t>
  </si>
  <si>
    <t>Workshop with relevent stakeholders on preventive and curative measures taking account the knowledge, needs and special considerations of vulnersable groups (including woman) in developing and promoting measures</t>
  </si>
  <si>
    <t>Yes; participate IPs organizations</t>
  </si>
  <si>
    <t>1.Sensitize for inclusive participation during project communication  (e.g. regular briefing on GESI perspective)
2. Ensure 50% female in the workshop (women, dalits, indigenous people) where applicable
3. GESI concept  and mainstreaming methodologies are incorporated in the presentation</t>
  </si>
  <si>
    <t>3.2.3.2</t>
  </si>
  <si>
    <t>Package includes wildlife deterent plants plantation, green fences, predator proof pen fence, mesh wire /electric fencing and its maintanance,  - as per community need and nature of HWC. The detials (sites/interventions) to be finalized based on participatory assessment report followed by community consultation</t>
  </si>
  <si>
    <t>Ensure no invasive species are used and meaningful consultation with IPs</t>
  </si>
  <si>
    <t>1. Meaningful participation of IPs, Womens' Group and Dalits</t>
  </si>
  <si>
    <t>1.Sensitize for inclusive participation during project communication  (e.g. regular briefing on GESI perspective)
2. Ensure 60% female, 25% Ips and 10% dalit participation during project -related loans for community level enterprise and livelihood support</t>
  </si>
  <si>
    <t>3.2.3.3</t>
  </si>
  <si>
    <t>Package includes franction of insurance premium payments through rovolving fund establishment</t>
  </si>
  <si>
    <t>Prioritize Dalit, women's group, and IPs in decision making</t>
  </si>
  <si>
    <t>system</t>
  </si>
  <si>
    <t>3.2.3.4</t>
  </si>
  <si>
    <t>Prepare reporting system and implement with stakeholders support</t>
  </si>
  <si>
    <t>CBAPU/s</t>
  </si>
  <si>
    <t>3.3.1.1</t>
  </si>
  <si>
    <t>Basic safety and health equipments to community youth volunteer - CBAPU like torch light, field gears e.g. cap, rain coat/jacket. Cost includes 5 sesitization/ capacity development workshop on biodiversity conservation and environmental and social safeguard and field gears to 100 CBAPUs</t>
  </si>
  <si>
    <t>Ensure Gender friendly field gears</t>
  </si>
  <si>
    <t>3.3.1.2</t>
  </si>
  <si>
    <t>Training to CBAPU members</t>
  </si>
  <si>
    <t>3.3.1.3</t>
  </si>
  <si>
    <t>Revolving fund establishment</t>
  </si>
  <si>
    <t>All the activities of output 3.3.1. will contribute to make CBAPU functional. The functionality will be measured based on the periodic reporting.</t>
  </si>
  <si>
    <t>3.3.2.1</t>
  </si>
  <si>
    <t>Manual update through experts engagement</t>
  </si>
  <si>
    <t>Ensure GESI concept and mainstreaming are part of the manual</t>
  </si>
  <si>
    <t>3.3.2.2</t>
  </si>
  <si>
    <t>Training package developed and training conducted</t>
  </si>
  <si>
    <t>Ensure WWF’s Support for Enforcement and Rangers in the training manual</t>
  </si>
  <si>
    <t>1.Follow WWF guidance on armed, professional poachers vs community members engaged in livelihood activities
2. Ensure  at least 50% female participation (Representation of women, dalits, ethnic and indigenous peoples)</t>
  </si>
  <si>
    <t>meeting</t>
  </si>
  <si>
    <t>3.3.2.3</t>
  </si>
  <si>
    <t>2 transboundary meetings between India and Nepal officials on ILM themes (species protection, HWC management etc)</t>
  </si>
  <si>
    <t>3.3.2.4</t>
  </si>
  <si>
    <t>Package includes cost (for 12 months) for project staff's travela nd DSA  to support gratee partners technically in activity implementation and necessary coordination.</t>
  </si>
  <si>
    <t>Outcome 4.1: Improved coordination and dialogue on integrated landscape management from the local to national level</t>
  </si>
  <si>
    <t>Dialogue</t>
  </si>
  <si>
    <t>4.1.1.1</t>
  </si>
  <si>
    <t>A dialogue will be organized in coordination with local CSOs and government bodies e.g. NBCC, WCCB, TAL working group and conduct thematic discussion e.g. how to manage forest fire in fire season, HWC management and produce media reports/programs. During the implementation, number of stakeholders will be identified and documented to better align with result framework.</t>
  </si>
  <si>
    <t>Yes; ensure representation of IPs organization</t>
  </si>
  <si>
    <t xml:space="preserve">1. Ensure quality representation </t>
  </si>
  <si>
    <t>4.1.1.2</t>
  </si>
  <si>
    <t>Annual discussions among key stakeholders on ILM e.g. wildlife rescue</t>
  </si>
  <si>
    <t>Inclusive team members</t>
  </si>
  <si>
    <t>platform</t>
  </si>
  <si>
    <t>4.1.1.3</t>
  </si>
  <si>
    <t>Project website maintained and enhanced</t>
  </si>
  <si>
    <t>Prioritize women's group, dalits, IPs in the learning platform</t>
  </si>
  <si>
    <t>No of eco-clubs supported</t>
  </si>
  <si>
    <t>4.1.2.1</t>
  </si>
  <si>
    <t>Capacitate eco-clubs to be part of biodiversity conservation at local level through talent competition, awareness campaign (e.g. mass awareness on waste management/plastic pollution control), small infrastructure like e.g.cycle stand, eco-garden, bio-fencing)</t>
  </si>
  <si>
    <t>1. Ensure 50% female in the Eco-club 
2. Gender friendly planning and implementation</t>
  </si>
  <si>
    <t>No of meetings</t>
  </si>
  <si>
    <t>4.1.2.2</t>
  </si>
  <si>
    <t>Orientation, exposure visits and capacity buidling training/events and meetings with eco-club networks, eco-teachers</t>
  </si>
  <si>
    <t>Ensure childrens from Ips in the meeting</t>
  </si>
  <si>
    <t>Ensure 50% female, and representation of Ips, dalits in the eco-club</t>
  </si>
  <si>
    <t>event</t>
  </si>
  <si>
    <t>4.1.2.3</t>
  </si>
  <si>
    <t>Technical support to government entities to organize conservation events with multi-stakeholder (Ips, LCs) participation</t>
  </si>
  <si>
    <t>1. Ensure meaningful participation of  IPs in celebrating events</t>
  </si>
  <si>
    <t>1.Sensitize for inclusive participation event celebration  (e.g. regular briefing on GESI perspective)
2. Ensure at least 50% female participation (Representation of women, dalits, ethnic and indigenous peoples)</t>
  </si>
  <si>
    <t>media</t>
  </si>
  <si>
    <t>4.1.2.4</t>
  </si>
  <si>
    <t>Organize media visits to sensitize about ILM, ensuring gender and social inclusion (GESI) dimensions during implementation</t>
  </si>
  <si>
    <t>1. GESI sensitive information 
2. Ensure proper capacity building of the media to disseminate information on the importance of GESI integration in conservation.</t>
  </si>
  <si>
    <t>radio</t>
  </si>
  <si>
    <t>4.1.2.5</t>
  </si>
  <si>
    <t>Audio-programs development to disseminate information about ILM, ensuring gender and social inclusion (GESI) dimensions during implementation</t>
  </si>
  <si>
    <t>Initiate radio program with success stories of women's group, dalits, IPs</t>
  </si>
  <si>
    <t>Outcome 4.2: Project monitoring system operates,  information on progress, and informs adaptive management to ensure results</t>
  </si>
  <si>
    <t>Outcome 4.2: Project monitoring system operates, systematically provides information on progress, and informs adaptive management to ensure results</t>
  </si>
  <si>
    <t>4.2.1.1</t>
  </si>
  <si>
    <t>4.2.1.2</t>
  </si>
  <si>
    <t>Meetings as per prodoc</t>
  </si>
  <si>
    <t>1.Sensitize for inclusive participation during project communication  (e.g. regular briefing on GESI perspective)
2. Ensure 33% female participation (Representation of women, dalits, ethnic and indigenous peoples)</t>
  </si>
  <si>
    <t>4.2.1.3</t>
  </si>
  <si>
    <t xml:space="preserve">Workshops to review project progresses/prepare quarterly and annual plan with project team and also with project stakeholders </t>
  </si>
  <si>
    <t>4.2.1.4</t>
  </si>
  <si>
    <t>Visits/travel focused on project interventions (outcomes/outputs)</t>
  </si>
  <si>
    <t xml:space="preserve">Yes; Esure meaningful  participation of IPs representative </t>
  </si>
  <si>
    <t>4.2.1.5</t>
  </si>
  <si>
    <t xml:space="preserve">Multi-stakeholders including Ips, LCs, local goverments, project staff, MoFE officials - visit </t>
  </si>
  <si>
    <t>4.2.1.6</t>
  </si>
  <si>
    <t>Training cost (e.g. resource persons, training materials, participant travel, logistics)</t>
  </si>
  <si>
    <t>4.2.1.7</t>
  </si>
  <si>
    <t xml:space="preserve">Event as training package including site visit (exposure) in integrated landscape management practices in other landscapes </t>
  </si>
  <si>
    <t>4.2.1.8</t>
  </si>
  <si>
    <t>organize a workshop with project stakeholers as requested by Mid-term review team</t>
  </si>
  <si>
    <t>Yes; ensure participation of IPs</t>
  </si>
  <si>
    <t>No of evaluation supported</t>
  </si>
  <si>
    <t>4.2.1.9</t>
  </si>
  <si>
    <t>WWF - Technical assistance part</t>
  </si>
  <si>
    <t>Yes; ensure participation of IP representation</t>
  </si>
  <si>
    <t>Outcome 4.3: Project lessons shared</t>
  </si>
  <si>
    <t>4.3.1.1</t>
  </si>
  <si>
    <t>No of stories/videos</t>
  </si>
  <si>
    <t>4.3.1.2</t>
  </si>
  <si>
    <t>Prepare 7 short videos and 1 story of the project highlighting project interventions, ensure the GESI dimensions as part of lessons and stories</t>
  </si>
  <si>
    <t>Reflect Ips issues and mitigation measures taken  into success stories</t>
  </si>
  <si>
    <t>yes; reflect on impacts of discouraging invasive species</t>
  </si>
  <si>
    <t>Reflect impact of project intervention on IP, dalit and womens</t>
  </si>
  <si>
    <t>Yes; take consent before story collection and disclose before dissemianation</t>
  </si>
  <si>
    <t>Ensure proper cpacity building of the media to disseminate information on the importance of GESI integration in conservation</t>
  </si>
  <si>
    <t>Reports</t>
  </si>
  <si>
    <t>4.3.1.3</t>
  </si>
  <si>
    <t>Cost includes any policy documents review, design and printing support to relevent government organizations</t>
  </si>
  <si>
    <t>Persons supported</t>
  </si>
  <si>
    <t>4.3.1.4</t>
  </si>
  <si>
    <t>Provide support to participate in international scientific forum for ILaM project staff</t>
  </si>
  <si>
    <t>Articles</t>
  </si>
  <si>
    <t>4.3.1.5</t>
  </si>
  <si>
    <t>Provide support to prepare and publish a journal article in ILaM project theme</t>
  </si>
  <si>
    <t>4.3.1.6</t>
  </si>
  <si>
    <t xml:space="preserve">Package includes
Staff travel and DSA, coordination meeting with gov. partners, gov staffs travel and communication support, coordination meeting with IPs and local communities, travel cost/transporation and communication support to gov partners for monitoring and technical backstopping </t>
  </si>
  <si>
    <t>4.3.1.7</t>
  </si>
  <si>
    <t>Office and Equipment Maintenance</t>
  </si>
  <si>
    <t>Office Insurance (including office vehicles)</t>
  </si>
  <si>
    <t>Time</t>
  </si>
  <si>
    <t>Field Supplies (field gear for project staff)</t>
  </si>
  <si>
    <t>Printing</t>
  </si>
  <si>
    <t>Annual Audit</t>
  </si>
  <si>
    <t>Audit</t>
  </si>
  <si>
    <t>Cupboard/File Racks (for Banke office and  for Kathmandu Office)</t>
  </si>
  <si>
    <t>CC Camera for PMU Office</t>
  </si>
  <si>
    <t>TV 65" for PMU office (multipurpose uses)</t>
  </si>
  <si>
    <t>Air conditioner with associated cost (for field office)</t>
  </si>
  <si>
    <t>Micro-oven (for Banke)</t>
  </si>
  <si>
    <t>Cameras/Binacular</t>
  </si>
  <si>
    <t>Multi-function printer (for Banke)</t>
  </si>
  <si>
    <t>Power back up system (for Banke)</t>
  </si>
  <si>
    <t>Account Software (Activity-wise reporting, AMC etc.)</t>
  </si>
  <si>
    <t>Softwares</t>
  </si>
  <si>
    <t>Support</t>
  </si>
  <si>
    <t>YR 4</t>
  </si>
  <si>
    <r>
      <t xml:space="preserve">                                         Period: </t>
    </r>
    <r>
      <rPr>
        <sz val="16"/>
        <color rgb="FF003366"/>
        <rFont val="Calibri"/>
        <family val="2"/>
      </rPr>
      <t>Year 5 (July 1, 24 - June 30, 25) (FY 81/82)</t>
    </r>
  </si>
  <si>
    <t>BUDGET in $</t>
  </si>
  <si>
    <t>1.Sensitize for inclusive participation during project communication  (e.g. regular briefing on GESI perspective)
2. Ensure at least 33% female participants in the coordination mechanism (Representation of women, dalits, ethnic and indigenous peoples (where applicable)
3. Ensure coordination mechanism listens and value the idea, perception and needs of women, dalit, janjati, poor and marginalized people of the community (Do no harm and ensure safeguard of women, dalit, janjati, poor and marginalized people during the meeting of coordination mechanism)</t>
  </si>
  <si>
    <t>Cost includes meetings/workshop logistics</t>
  </si>
  <si>
    <t>Enhancing inter-state coordination on ILM works through organizing interaction on ILM based on NBSAP and TAL strategy</t>
  </si>
  <si>
    <t xml:space="preserve"> Local governments will be sensitized about importance of ILM and coordinate/faciliate in LG's planning process and will be oriented on TAL and NBSAP strategy </t>
  </si>
  <si>
    <t>Cost includes consulting services, roll out of NBSAPin project sites (Province and Local level) if approved by Government of Nepal in Project period</t>
  </si>
  <si>
    <t>1.2.1.1:  Conduct training to ILM coordinators for capturing international best practice on cross-sector landscape and forest planning/management and applying this to the local context</t>
  </si>
  <si>
    <t>1.Sensitize for inclusive participation during project communication  (e.g. regular briefing on GESI perspective and synergies across all level)
2. Ensure 50% female participation (Representation of women, dalits, ethnic and indigenous peoples) with meaninfgul representation in the decision making process
3. The training manual must include GESI component related to conservation, cover GESI sensitive curriculum/topics, positive change in social norms approach in conservation
4. Use participatory training methods
5. Develop pre-test, post-test questionnaire as an integral part of manual</t>
  </si>
  <si>
    <t>1.2.2.2: Conduct training on Disaster Risk Management</t>
  </si>
  <si>
    <t>At least 30 government staffs (state and federal staffs) will be given training with 2 training package</t>
  </si>
  <si>
    <t xml:space="preserve">1.2.2.3: Orientation on roles and responsibilities for new park staff (senior/game scouts) </t>
  </si>
  <si>
    <t xml:space="preserve">1.2.2.4: Orientation on roles and responsibilities for new divisional staff </t>
  </si>
  <si>
    <t>Thesis grant will be provided as per PEC approved guideline</t>
  </si>
  <si>
    <t xml:space="preserve"> $-   </t>
  </si>
  <si>
    <t>Includes study, action research or scientific research and on the ground interventions as well. However priority will be given to academic institutions in research and extension work related to NRM and biodiversity Conservation in TAL corridors and PA buffer zones that will help address threats and barriers in achieveing overall project objective
 (10,000 realigned from 1.2.3.2 to 1.2.3.1 ; 21,406 realigned from 1.2.3.2 to 1.2.3.3 - MTR recommendation)</t>
  </si>
  <si>
    <t>1.2.3.3: Provide innovation grant to the government agencies (National Park, Forest Division, Research and Training Centre) at state level</t>
  </si>
  <si>
    <t>Include infrastructure, equipments and research (HWC management, problem animal-rescue equipment , ecotourism promotion, species management and habitat management), study, capacity development training to government officials and scientific research. Priority in TAL area</t>
  </si>
  <si>
    <t>(4,757 realigned from 2.1.1.1 to 2.2.3.3 after activity completion)</t>
  </si>
  <si>
    <t> </t>
  </si>
  <si>
    <t>Assessment report preparation cost</t>
  </si>
  <si>
    <t>Yes; Report any as such required during the assessment report preparation process</t>
  </si>
  <si>
    <t>Yes, ensure meaningful participation of IPs</t>
  </si>
  <si>
    <t>prepare based on screening</t>
  </si>
  <si>
    <t>Ensure meaningful participation of IPs, Dalits and women</t>
  </si>
  <si>
    <t>1. Sensitize for inclusive participation
2. Ensure 50% female participation (Representation of women, dalits, ethnic and indigenous peoples)</t>
  </si>
  <si>
    <t xml:space="preserve">Based on learnings from Ilam Project interventions prepared a document on integrated landscape management approach, published and orientation to stakeholders, Cost includes consulting service, printing and workshop
 </t>
  </si>
  <si>
    <t>1.Ensure habitat degradation, patch areas identification, access restriction issues
2. Ensure meaningful participation of IPS, women's group and dalit groups</t>
  </si>
  <si>
    <t>Yes; Report any as such requred  during the consultation process</t>
  </si>
  <si>
    <t xml:space="preserve">Resource mapping with expert supports BaNP BZ, BNP BZ, Kamdi and Karnali corridor, Bramhadev corridor
 </t>
  </si>
  <si>
    <t>At least 80 events of consultation meetings  and co-ordinaton meetings will be conducted with the identified communities. Based on the forest and community Participatory Assessment Report (updated) to facilitate implementation of project activities including program/financial compliance orientation</t>
  </si>
  <si>
    <t>Strategy study</t>
  </si>
  <si>
    <t xml:space="preserve">
 (19,219 realigned from 2.2.2.1 to 3.2.3.2 - MTR recommendation)</t>
  </si>
  <si>
    <t>CFUGs</t>
  </si>
  <si>
    <t>Incorporation of GESI aspects in operational plans will be prioritized.
(8,000 realigned from 2.2.2.2 to 3.2.3.2 - MTR recommendation)</t>
  </si>
  <si>
    <t>Ensure meaningful participation of IPs/ in the consultation process and in decision-making processes with true collaboration and agreement</t>
  </si>
  <si>
    <t>Cost includes service providers' cost to prepare GIRD</t>
  </si>
  <si>
    <t>Cost includes service providers' cost to prepare plan</t>
  </si>
  <si>
    <t>Training cost- Lumbini province, Sudurpaschim Province</t>
  </si>
  <si>
    <t>1. Ensure GESI component related with the conservation in the manual
2. Ensure participatory training methods in the manual
3. Ensure GESI pre-test, post-test questionnaire as a part of manual</t>
  </si>
  <si>
    <t xml:space="preserve">
21,687 realigned from 3.1.1.3 to 3.1.1.5 - MTR recommendation</t>
  </si>
  <si>
    <t>25,000 realigned from 3.1.1.4 to 3.1.1.5 - MTR recommendation</t>
  </si>
  <si>
    <t>3.1.1.6 Provide multi-year support for nursery to Division forest offices (within targeted sites identified in component 2) including restoration activities in BZ and corridor</t>
  </si>
  <si>
    <t>DFOs will manage  nursery  including small infrastructures and produce single/ multi-year seedlings to make available to local communities in forest restoration sites, private and agro-forestry promotion sites. 2 lakh seedling production+30 hac restoration
 (Restoration of  public land and community forest through natural regeneration protection and plantation)</t>
  </si>
  <si>
    <t xml:space="preserve">
 (20,000 realigned from 3.1.2.5 to  3.1.1.6; 
80,000 realigned from 3.1.2.5 to 3.1.3.2
 47,739 realigned from 3.1.2.5 to 3.1.3.3; 10,000 realigned 3.1.2.5 from to 3.2.3.2) - MTR recommendation</t>
  </si>
  <si>
    <t>Administration cost support to private forest owners in registration process
 ( 40,000 realigned from 3.1.2.6 to 3.1.3.3)  - MTR recommendation</t>
  </si>
  <si>
    <t xml:space="preserve">
( 6,250 realigned from 3.1.3.1 to 3.1.3.2) - MTR recommendation</t>
  </si>
  <si>
    <t>3.1.3.2: Provide financial and technical support to improve livestock management (AI, fodder plant support, feeding trough, vet support, stall improvement), Including Agroforestry promotion activities</t>
  </si>
  <si>
    <t>To reduce pressure on wildlife habitat, alternative packages including cement trough, fodder seedlings will be supported to households who are more dependent on forest resources in nearby corridor forest/ buffer zone forest
Agroforestry promotion activities includes fruits and tree plantation with irrigation support in 150 hac (realigned from 3.1.2.5: 39,062) - MTR recommendation</t>
  </si>
  <si>
    <t>Package includes Habitat improvement in BaNP and its buffer zone, BNP and its buffer zone, Kamdi corridors and Karnali corridors (255 Ha. grassland and 18 wetlands) including technical backstopping and monitoring cost to grantee partners. Park offices  will prioritize implementation sites in core area of national park and buffer zone realigned from 3.1.3.1: 124,842 - MTR recommendation</t>
  </si>
  <si>
    <t>On the basis of FPIC</t>
  </si>
  <si>
    <t>1. Ensure meaningful participation of IPs, Dalit and women's group
2. Develop LRP as needed</t>
  </si>
  <si>
    <t>1. Ensure 60% female, 20% Ips, and 10% dalit beneficiaries (if LRP)</t>
  </si>
  <si>
    <t>Package include capacity building training on ESS, GESI, GRM, hoarding board/Pictorial content development on ESS awareness, support women/IPs/dalit group with LIP,  exposure visit to CFUG/BZUC members, mitigative safeguard to support Project Affected Peoples</t>
  </si>
  <si>
    <t>Yes, Ensure Environmental and Social Safeugards</t>
  </si>
  <si>
    <t>Ensure 60% women, 25% IPs and 10% dalit beneficiaries</t>
  </si>
  <si>
    <t xml:space="preserve">
 (93,548 realigned from 3.1.3.6 to 3.2.3.2 ) - MTR recommendation</t>
  </si>
  <si>
    <t>Ensure GESI friendly dialect</t>
  </si>
  <si>
    <t>Strengthening of wildlife rescue center in BNP and BaNP with equipments and facilities improvement</t>
  </si>
  <si>
    <t>1. Sensitize for inclusive participation during project communication  (e.g. regular briefing on GESI perspective)
2. Ensure 50% female participation (Representation of women, dalits, ethnic and indigenous peoples)</t>
  </si>
  <si>
    <t>Package includes wildlife deterent plants plantation, green fences, predator proof pen fence, mesh wire /electric fencing and its maintanance,  - as per community need and nature of HWC. The detials (sites/interventions) to be finalized based on participatory assessment report followed by community consultation                                                                             Realigned from3.1.3.6 : 156,062 - MTR recommendation</t>
  </si>
  <si>
    <t>Basic safety and health equipments to community youth volunteer - CBAPU like torch light, field gears e.g. cap, rain coat/jacket. Cost includes 5 sesitization/ capacity development workshop on biodiversity conservation and environmental and social safeguard and field gears to 100 CBAPUs
(also includes capacity building through exposer visits and training))</t>
  </si>
  <si>
    <t xml:space="preserve">
(32,021 realigned from 3.3.1.3  to 3.3.1.2 - MTR recommendation</t>
  </si>
  <si>
    <t>1.Sensitize for inclusive participation during project communication  (e.g. regular briefing on GESI perspective)
2. Ensure at least 33% female participation (Representation of women, dalits, ethnic and indigenous peoples)</t>
  </si>
  <si>
    <t>A dialogue will be organized in coordination with local CSOs and government bodies e.g. NBCC, WCCB, TAL working group and conduct thematic discussion e.g. how to manage forest fire in fire season, HWC management and produce media reports/programs. During the implementation, number of stakeholders will be identified and documented to better align with result framework. Includes one KAP survey to understand changes in Knowledge,  Attitude and Practice as recommended by MTR
(30,000 realigned from 4.1.1.1 to 4.1.2.1) - MTR recommendation</t>
  </si>
  <si>
    <t xml:space="preserve">1. Ensure quality and inclusive representation </t>
  </si>
  <si>
    <t xml:space="preserve"> 4.1.1.3: Establish and maintain online Landscape Knowledge Learning Platform (including project website)</t>
  </si>
  <si>
    <t>Project website maintained and enhanced
(9000 realigned from 4.1.1.3 to 4.1.2.1) - MTR recommendation</t>
  </si>
  <si>
    <t>4.2.1.1 : Organize project inception workshop at Kathmandu and field level</t>
  </si>
  <si>
    <t xml:space="preserve">Meetings as per prodoc
</t>
  </si>
  <si>
    <t xml:space="preserve">Visits/travel focused on project interventions (outcomes/outputs)
</t>
  </si>
  <si>
    <t xml:space="preserve">PMU </t>
  </si>
  <si>
    <t xml:space="preserve">Training cost (e.g. resource persons, training materials, participant travel, logistics)
 </t>
  </si>
  <si>
    <t>organize a workshop with project stakeholers as requested by Mid-term review team
(3,713 realigned from 4.2.1.8 to 4.2.1.7; MTR already completed)</t>
  </si>
  <si>
    <t>4.2.1.9: Conduct Project Evaluations (Mid-term and terminal evaluation - GEF/SWC)</t>
  </si>
  <si>
    <t>Prepare  videos and stories of the project highlighting project interventions, ensure the GESI dimensions as part of lessons and stories</t>
  </si>
  <si>
    <t>Ensure proper capacity building of the media to disseminate information on the importance of GESI integration in conservation</t>
  </si>
  <si>
    <t>Ensure 33% female participation (Representation of women, dalits, ethnic and indigenous peoples)</t>
  </si>
  <si>
    <t>Ensure disseminate information on the importance of GESI integration in conservation</t>
  </si>
  <si>
    <t>Sensitize for inclusive participation during project communication  (e.g. regular briefing on GESI perspective)</t>
  </si>
  <si>
    <t xml:space="preserve"> 4.3.1.7: Organize final project lessons sharing workshop</t>
  </si>
  <si>
    <t xml:space="preserve">Office running cost- Utility  </t>
  </si>
  <si>
    <t>Office &amp; Equipments Maintenance</t>
  </si>
  <si>
    <t>Office Insurance (Equipment &amp; Vehicles)</t>
  </si>
  <si>
    <t xml:space="preserve">Office Supplies </t>
  </si>
  <si>
    <t xml:space="preserve">Field  program  implementation  support coordination (Staffs travel and Inhouse Meeting) including Vehicle Hired </t>
  </si>
  <si>
    <t>Field gear for project staff</t>
  </si>
  <si>
    <t>4.2.1.10</t>
  </si>
  <si>
    <t>Annual Financial Audit</t>
  </si>
  <si>
    <t>Cupboard/File Racks ( for Banke or Kathmandu Office)</t>
  </si>
  <si>
    <t xml:space="preserve"> $                              -  </t>
  </si>
  <si>
    <t>TV 65'' for PMU Office (Multi-purpose uses)</t>
  </si>
  <si>
    <t>Air conditioner (for Banke)</t>
  </si>
  <si>
    <t>Other communication equipments</t>
  </si>
  <si>
    <t>Multi-Function Printers (For Banke)</t>
  </si>
  <si>
    <t>Power Backup System (for Banke)</t>
  </si>
  <si>
    <t>Office Renovation and partation</t>
  </si>
  <si>
    <t>Monitor</t>
  </si>
  <si>
    <t>YR5</t>
  </si>
  <si>
    <r>
      <t xml:space="preserve">Period: </t>
    </r>
    <r>
      <rPr>
        <sz val="16"/>
        <color rgb="FF003366"/>
        <rFont val="Calibri"/>
        <family val="2"/>
      </rPr>
      <t>Year 6 (July 25 - June 26) (FY 82/83)</t>
    </r>
  </si>
  <si>
    <t>Support includes meeting logistics and office equipment to MoFE</t>
  </si>
  <si>
    <t>Provinces will receive institutional support after formation of province level BCC or during the preparation of NBSAP and its roll-out to enhance understanding and adoption of Integrated Landscape Management</t>
  </si>
  <si>
    <t>Multistakeholder meeting organized focussing on widlife friendly infrastructure promotion and also includes necessary support in policy processes e.g. printing, consultation, visits</t>
  </si>
  <si>
    <t>Local governments will be sensitized about importance of ILM and coordinate/faciliate in LG's planning process and will be oriented on TAL and NBSAP strategy. Local governments will be sensitized and made aware about importanace of SFM. Also aligned with project phase out plan sharing meeting</t>
  </si>
  <si>
    <t>PMU/MoFE</t>
  </si>
  <si>
    <t>Cost includes print &amp; publication,  consulting services, roll out of NBSAP in project sites (Province and Local level) once approved by Government of Nepal in Project period .  Costs also include documentation, editing, review and meeting logistics</t>
  </si>
  <si>
    <r>
      <rPr>
        <b/>
        <sz val="10"/>
        <color rgb="FF000000"/>
        <rFont val="Calibri"/>
        <family val="2"/>
      </rPr>
      <t>Output 1.2.1.</t>
    </r>
    <r>
      <rPr>
        <sz val="10"/>
        <color rgb="FF000000"/>
        <rFont val="Calibri"/>
        <family val="2"/>
      </rPr>
      <t xml:space="preserve"> Conservation Leadership Training provided </t>
    </r>
  </si>
  <si>
    <t>ILM coordinators working in biodiversity conservation in TAL will be capacited on ILM through international exposures. Capacitated officials are expected to engage to replicate pragmatic approaches and new knowledge in landscape management and TAL India and Nepal exposure visit for Project staff and officials from grantee partners (Realigned $24000 from 1.1.1.3 and $20000 from 2.2.2.1 based on MTR Recommendations inculding field priority /practices)</t>
  </si>
  <si>
    <r>
      <rPr>
        <b/>
        <sz val="10"/>
        <color rgb="FF000000"/>
        <rFont val="Calibri"/>
        <family val="2"/>
      </rPr>
      <t>Output 1.2.2</t>
    </r>
    <r>
      <rPr>
        <sz val="10"/>
        <color rgb="FF000000"/>
        <rFont val="Calibri"/>
        <family val="2"/>
      </rPr>
      <t xml:space="preserve"> Training courses provided on key subjects for integrated landscape management for responsible federal and state government staff</t>
    </r>
  </si>
  <si>
    <t>At least 10 government staffs (state and federal staffs) will be given training with1 training package</t>
  </si>
  <si>
    <r>
      <rPr>
        <b/>
        <sz val="10"/>
        <color rgb="FF000000"/>
        <rFont val="Calibri"/>
        <family val="2"/>
      </rPr>
      <t>Output 1.2.3</t>
    </r>
    <r>
      <rPr>
        <sz val="10"/>
        <color rgb="FF000000"/>
        <rFont val="Calibri"/>
        <family val="2"/>
      </rPr>
      <t xml:space="preserve"> Small grants for innovation in ILM (conservation, natural resource, and landscape management) in TAL corridors and PA buffer zones</t>
    </r>
  </si>
  <si>
    <t xml:space="preserve">Thesis grants will be provided as per PEC approved guideline. </t>
  </si>
  <si>
    <t>Includes study, action research or scientific research and on the ground interventions as well. However priority will be given to academic institutions in research, extension work and capacity development related to NRM and biodiversity Conservation in TAL</t>
  </si>
  <si>
    <t>Include infrastructure, equipments and research (HWC management, species management, Forest restoration, problem animal-rescue equipment, agroforestry, promotion for livelihood), study, ecotourism promotion, workshop, capacity development training and saftey field gear to government officials and scientific research across the country. Priority in TAL area (Realigned $ 40000 from 1.2.3.2 based on MTR Recommendations inculding field priority /practices)</t>
  </si>
  <si>
    <r>
      <rPr>
        <b/>
        <sz val="10"/>
        <color rgb="FF000000"/>
        <rFont val="Calibri"/>
        <family val="2"/>
      </rPr>
      <t xml:space="preserve">Output 2.1.1 </t>
    </r>
    <r>
      <rPr>
        <sz val="10"/>
        <color rgb="FF000000"/>
        <rFont val="Calibri"/>
        <family val="2"/>
      </rPr>
      <t>Biodiversity surveys, socio-economic surveys, and local stakeholder consultation for Brahmadev , Karnali, and Kamdi corridors to determine feasibility of appropriate models for community-based natural resource management</t>
    </r>
  </si>
  <si>
    <r>
      <rPr>
        <b/>
        <sz val="10"/>
        <color rgb="FF000000"/>
        <rFont val="Calibri"/>
        <family val="2"/>
      </rPr>
      <t xml:space="preserve">Output 2.2.1: </t>
    </r>
    <r>
      <rPr>
        <sz val="10"/>
        <color rgb="FF000000"/>
        <rFont val="Calibri"/>
        <family val="2"/>
      </rPr>
      <t xml:space="preserve">Land uses, biodiversity values, forest carbon, and key threats assessed, mapped, reported and disseminated to identify priority villages and forest areas in the targeted PA buffer zones and corridors </t>
    </r>
  </si>
  <si>
    <t>Resource mapping with expert supports BaNP BZ, BNP BZ, Kamdi and Karnali corridor, including water quality assessment-1, in BNP.  Cost also include documentation, editing, review and printing</t>
  </si>
  <si>
    <t>meetings</t>
  </si>
  <si>
    <t>At least 60 events of consultation meetings  and co-ordinaton meetings will be conducted with the identified communities. Based on the forest and community Participatory Assessment Report (updated) to facilitate implementation of project activities including safeguard orientation. Also includes Sustainability plan preparation/roll out meeting with stakeholders (Realigned  $1986 from 2.1.1.2  and $139 from 2.1.1.1 based on MTR Recommendations inculding field priority /practices)</t>
  </si>
  <si>
    <r>
      <rPr>
        <b/>
        <sz val="10"/>
        <color rgb="FF000000"/>
        <rFont val="Calibri"/>
        <family val="2"/>
      </rPr>
      <t xml:space="preserve">Output 2.2.2: </t>
    </r>
    <r>
      <rPr>
        <sz val="10"/>
        <color rgb="FF000000"/>
        <rFont val="Calibri"/>
        <family val="2"/>
      </rPr>
      <t>Sustainable Forest Management Operational Plans developed or revised for priority forest areas, incorporating the assessment from 2.2.1</t>
    </r>
  </si>
  <si>
    <t>Cost includes dissemination/roll-out meetings of Forestry sector strategy prepared by MoFE in project sites and TAL and also includes consultation support (if needed) at province level.  Costs also include documentation, editing, review and printing, meeting logistics.</t>
  </si>
  <si>
    <r>
      <rPr>
        <b/>
        <sz val="10"/>
        <color rgb="FF000000"/>
        <rFont val="Calibri"/>
        <family val="2"/>
      </rPr>
      <t xml:space="preserve">Output 2.2.3: </t>
    </r>
    <r>
      <rPr>
        <sz val="10"/>
        <color rgb="FF000000"/>
        <rFont val="Calibri"/>
        <family val="2"/>
      </rPr>
      <t xml:space="preserve">Strategic framework for corridor management developed and management plans prepared or revised for all seven TAL corridors / protected forests  </t>
    </r>
  </si>
  <si>
    <t>corridor management plan roll-out incuding printing cost.  Costs also include documentation, editing, review.</t>
  </si>
  <si>
    <r>
      <rPr>
        <b/>
        <sz val="10"/>
        <color rgb="FF000000"/>
        <rFont val="Calibri"/>
        <family val="2"/>
      </rPr>
      <t xml:space="preserve">Output 3.1.1:  </t>
    </r>
    <r>
      <rPr>
        <sz val="10"/>
        <color rgb="FF000000"/>
        <rFont val="Calibri"/>
        <family val="2"/>
      </rPr>
      <t>Training and tools to local government on SFM</t>
    </r>
  </si>
  <si>
    <t>Cost includes printing cost of manual and expert cost if applicable.   Costs also include documentation, editing, review.</t>
  </si>
  <si>
    <t>Includes Training Cost province government officials and Local governments will be sensitized and made aware about importance of SFM.</t>
  </si>
  <si>
    <t>Sites or CFUGs  identified as most vulnerable to forest fire in project sites will be supported with forest fire management tools and forest fire management interventions support to DFOs/NPs (Realigned  $7813 from 3.1.1.3 based on MTR Recommendations inculding field priority /practices)</t>
  </si>
  <si>
    <r>
      <rPr>
        <sz val="9"/>
        <color rgb="FF000000"/>
        <rFont val="Calibri"/>
        <family val="2"/>
        <scheme val="minor"/>
      </rPr>
      <t>3.1.1.6 Provide multi-year support for nursery to Division forest offices (within targeted sites identified in component 2)</t>
    </r>
    <r>
      <rPr>
        <i/>
        <sz val="9"/>
        <color rgb="FF000000"/>
        <rFont val="Calibri"/>
        <family val="2"/>
        <scheme val="minor"/>
      </rPr>
      <t xml:space="preserve"> </t>
    </r>
    <r>
      <rPr>
        <i/>
        <sz val="9"/>
        <color rgb="FF00B050"/>
        <rFont val="Calibri"/>
        <family val="2"/>
        <scheme val="minor"/>
      </rPr>
      <t>including forest restoration activities in BZ and corridor</t>
    </r>
  </si>
  <si>
    <t>Nursery infrastructures strengthening and produce multi-year/single year seedlings to make available to local communities in forest restoration sites, private and agro-forestry promotion site 2.5 lakh seedling production, 172 hac area restoration (Restoration of public land and national forest including ommunity forest through through natural regeneration protection and plantation) following MTR recommendation</t>
  </si>
  <si>
    <r>
      <rPr>
        <b/>
        <sz val="10"/>
        <color rgb="FF000000"/>
        <rFont val="Calibri"/>
        <family val="2"/>
      </rPr>
      <t xml:space="preserve">Output 3.1.2: </t>
    </r>
    <r>
      <rPr>
        <sz val="10"/>
        <color rgb="FF000000"/>
        <rFont val="Calibri"/>
        <family val="2"/>
      </rPr>
      <t>Technical support to CFUGs, BZCFUGs and land holders for forest management</t>
    </r>
  </si>
  <si>
    <t>Focus on implementation of SFM in block Forest and Community Forest. Training to CFUGs on sustainable forest management and restoration (Realigned  $ 46876 from 3.1.3.1 and  $ 61538.46 from 3.1.2.5 based on MTR Recommendations inculding field priority /practices)</t>
  </si>
  <si>
    <r>
      <rPr>
        <b/>
        <sz val="10"/>
        <color rgb="FF000000"/>
        <rFont val="Calibri"/>
        <family val="2"/>
      </rPr>
      <t xml:space="preserve">Output 3.1.3: </t>
    </r>
    <r>
      <rPr>
        <sz val="10"/>
        <color rgb="FF000000"/>
        <rFont val="Calibri"/>
        <family val="2"/>
      </rPr>
      <t>Forests and associated habitat in priority buffer zones and corridors managed sustainably</t>
    </r>
  </si>
  <si>
    <r>
      <rPr>
        <sz val="9"/>
        <color rgb="FF000000"/>
        <rFont val="Calibri"/>
        <family val="2"/>
        <scheme val="minor"/>
      </rPr>
      <t>3.1.3.2: Provide financial and technical support to improve livestock management (AI, fodder plant support, feeding trough, vet support, stall improvement)</t>
    </r>
    <r>
      <rPr>
        <i/>
        <sz val="9"/>
        <color rgb="FF00B050"/>
        <rFont val="Calibri"/>
        <family val="2"/>
        <scheme val="minor"/>
      </rPr>
      <t xml:space="preserve"> including agroforestry promotion activities to reduce grazing pressure</t>
    </r>
  </si>
  <si>
    <t>To reduce pressure on wildlife habitat, alternative packages including cement trough, fodder seedlings will be supported to households who are more dependent on forest resources in nearby corridor forest/ buffer zone forest ultimately contributing to sustainable forest management,  including agroforestry promotion activities following MTR recommendation</t>
  </si>
  <si>
    <t>Package includes Habitat improvement in BaNP and its buffer zone, BNP and its buffer zone, Kamdi corridors and Karnali corridors  including technical backstopping and monitoring cost to grantee partners. Park offices  will prioritize implementation sites in core area of national park and buffer zone. Improved management within National Parks helps provide essential habitat for diverse wildlife. Since there is a large area available in the project site for restoration, and we need to achieve additional targets, a substantial portion of the budget has been reallocated to this activity (Realigned $13298 from 2.2.3.1,  $2692 from 4.1.1.1, $20000 from 2.2.1.2,  $14285 from 4.3.1.4, $14962 from 4.3.1.5, $ 2404 from 4.3.1.2, 12591 from 4.2.1.6 ,  $8000 from 4.1.2.2, $13069 from 4.2.1.3,  $2401 from 4.2.1.4, $9122 from 4.2.1.5,  $11540 from 3.3.1.1,  $10000 from 4.3.1.1, $10000 from 1.2.2.2 
 $2324 from 3.1.3.7  based on MTR Recommendations inculding field priority /practices)</t>
  </si>
  <si>
    <t>Package includes river training works, biological measures to be appliced to control river cutting, construction materials purchase and transporation. Area (forest and agriculture land to be protected/restored after river bank protection to be calculated during details sites identification and implementation plan preparation ( Realigned $ 32189 from 3.1.2.5 Planning Workshop  based on MTR Recommendations inculding field priority /practices)</t>
  </si>
  <si>
    <t>Package include capacity building training on ESS, GESI, GRM, hoarding board/Pictorial content development on ESS awareness, support women/IPs/dalit group with LIP,  exposure visit to CFUG/BZUC members, mitigative safeguard to support Project Affected Peoples.  Costs also include documentation through consulting services, editing, review and printing</t>
  </si>
  <si>
    <t xml:space="preserve"> financial and technical support to small scale green enterprises in project targeted area</t>
  </si>
  <si>
    <t>Technical support with expert members on green enterprises business plan preparation</t>
  </si>
  <si>
    <r>
      <rPr>
        <b/>
        <sz val="10"/>
        <color rgb="FF000000"/>
        <rFont val="Calibri"/>
        <family val="2"/>
      </rPr>
      <t xml:space="preserve">Output 3.2.1: </t>
    </r>
    <r>
      <rPr>
        <sz val="10"/>
        <color rgb="FF000000"/>
        <rFont val="Calibri"/>
        <family val="2"/>
      </rPr>
      <t>Pilot method to reduce the wildlife accident in priority sites</t>
    </r>
  </si>
  <si>
    <t>Package includes technology enhancement, capacity development and monitoring cost (Realigned $447 from 3.2.1.1, $1704 from 3.2.1.2,  $ 4437 from 3.2.1.4  based on MTR Recommendations inculding field priority /practices)</t>
  </si>
  <si>
    <r>
      <rPr>
        <b/>
        <sz val="10"/>
        <color rgb="FF000000"/>
        <rFont val="Calibri"/>
        <family val="2"/>
      </rPr>
      <t xml:space="preserve">Output 3.2.2: </t>
    </r>
    <r>
      <rPr>
        <sz val="10"/>
        <color rgb="FF000000"/>
        <rFont val="Calibri"/>
        <family val="2"/>
      </rPr>
      <t>Training and facilities for human wildlife conflict response</t>
    </r>
  </si>
  <si>
    <t>Manual preparation, review and printing</t>
  </si>
  <si>
    <t>conduct training to division forest staff</t>
  </si>
  <si>
    <r>
      <rPr>
        <b/>
        <sz val="10"/>
        <color rgb="FF000000"/>
        <rFont val="Calibri"/>
        <family val="2"/>
      </rPr>
      <t xml:space="preserve">Output 3.2.3: </t>
    </r>
    <r>
      <rPr>
        <sz val="10"/>
        <color rgb="FF000000"/>
        <rFont val="Calibri"/>
        <family val="2"/>
      </rPr>
      <t>Community based HWC mitigate and preventive action implemented</t>
    </r>
  </si>
  <si>
    <t>Workshop with relevent stakeholders on preventive and curative measures taking account the knowledge, needs and special considerations of indigenous people in developing and promoting measures</t>
  </si>
  <si>
    <t xml:space="preserve">Package includes wildlife deterent plants plantation, green fences, predator proof pen fence, mesh wire /electric fencing and its maintanance,  - as per community need and nature of HWC. The detials (sites/interventions) to be finalized based on participatory assessment report followed by community consultation and information collection from field. Cost also includes cost-benefit analysis of HWC management as recommended by MTR (Realigned $143410 from 3.1.3.6,  $66094 from 3.2.3.3, $5628 from 3.3.2.3,   $9410 to 4.1.2.1 based on MTR Recommendations inculding field priority /practices) </t>
  </si>
  <si>
    <t xml:space="preserve">Prepare reporting system and implement with stakeholders support. It also includes Information collection </t>
  </si>
  <si>
    <r>
      <rPr>
        <b/>
        <sz val="10"/>
        <color rgb="FF000000"/>
        <rFont val="Calibri"/>
        <family val="2"/>
      </rPr>
      <t xml:space="preserve">Output 3.3.1: </t>
    </r>
    <r>
      <rPr>
        <sz val="10"/>
        <color rgb="FF000000"/>
        <rFont val="Calibri"/>
        <family val="2"/>
      </rPr>
      <t>Community Based Anti poaching Units functional in priority areas</t>
    </r>
  </si>
  <si>
    <t>Basic safety and health equipments to community youth volunteer - CBAPU and protection staff like torch light, field gears e.g. cap, rain coat/jacket. Cost includes sesitization/ capacity development workshop on biodiversity conservation and environmental and social safeguard and field gears to 70 CBAPUs (also includes capacity building through exposer visits and training)</t>
  </si>
  <si>
    <r>
      <rPr>
        <b/>
        <sz val="10"/>
        <color rgb="FF000000"/>
        <rFont val="Calibri"/>
        <family val="2"/>
      </rPr>
      <t xml:space="preserve">Output 3.3.2: </t>
    </r>
    <r>
      <rPr>
        <sz val="10"/>
        <color rgb="FF000000"/>
        <rFont val="Calibri"/>
        <family val="2"/>
      </rPr>
      <t xml:space="preserve">Training and operation support to Park staff, rangers on wildlife crime management </t>
    </r>
  </si>
  <si>
    <t>Manual update through experts engagement and also include printing cost.   Costs also include documentation, editing, review and consultation meeting</t>
  </si>
  <si>
    <t>Training package development and training conducted</t>
  </si>
  <si>
    <t>Transboundary meetings between India and Nepal officials on ILM themes (species protection, HWC management etc)</t>
  </si>
  <si>
    <t>Package includes cost (for 12 months) for project staff's travela nd DSA  to support gratee partners technically in activity implementation and necessary coordination (Realigned  $962 from 3.1.2.2, $55 from 3.1.2.3, $889 from 3.2.2.4  based on MTR Recommendations inculding field priority /practices)</t>
  </si>
  <si>
    <r>
      <rPr>
        <b/>
        <sz val="10"/>
        <color rgb="FF000000"/>
        <rFont val="Calibri"/>
        <family val="2"/>
      </rPr>
      <t xml:space="preserve">Output 4.1.1: </t>
    </r>
    <r>
      <rPr>
        <sz val="10"/>
        <color rgb="FF000000"/>
        <rFont val="Calibri"/>
        <family val="2"/>
      </rPr>
      <t>Information on ILM importance shared among key stakeholders</t>
    </r>
  </si>
  <si>
    <t>A dialogue will be organized in coordination with local CSOs and government bodies e.g. NBCC, WCCB, TAL working group and conduct thematic discussion. During the implementation, number of stakeholders will be identified and documented to better align with result framework.</t>
  </si>
  <si>
    <t>Annual discussions among key stakeholders on ILM e.g. wildlife rescue, forest fire and other sues recommended by MoFE</t>
  </si>
  <si>
    <r>
      <rPr>
        <b/>
        <sz val="10"/>
        <color rgb="FF000000"/>
        <rFont val="Calibri"/>
        <family val="2"/>
      </rPr>
      <t xml:space="preserve">Output 4.1.2: </t>
    </r>
    <r>
      <rPr>
        <sz val="10"/>
        <color rgb="FF000000"/>
        <rFont val="Calibri"/>
        <family val="2"/>
      </rPr>
      <t>Mass awareness products on biodiversity conservation and integrated landscape management</t>
    </r>
  </si>
  <si>
    <t>Capacitate eco-clubs to be part of biodiversity conservation at local level through talent competition, awareness campaign (e.g. mass awareness on waste management/plastic pollution control), small infrastructure like e.g.cycle stand, eco-garden, bio-fencing, waste pit). It includes write shop event. Costs also include documentation, editing, review and printing.</t>
  </si>
  <si>
    <t>Orientation, exposure visits and capacity buidling training/events and meetings with eco-club networks, eco-teachers. It also includes print and publish of Art book and story book &amp; write-shop event. Costs also include documentation, editing, review and printing</t>
  </si>
  <si>
    <t>Awareness event celebration through PMU and technical/financial support to government entities to organize conservation events with multi-stakeholder (Ips, LCs) participation including International Womans day (Realigned $1578.85 from 4.1.2.2,  $3846 from 4.2.1.2 based on MTR Recommendations inculding field priority /practices)</t>
  </si>
  <si>
    <t>Organize media visits to sensitize about ILM</t>
  </si>
  <si>
    <t>Audio-programs development to disseminate information about ILM, ensuring gender and social inclusion (GESI) dimensions during implementation and documentation of program outcome</t>
  </si>
  <si>
    <r>
      <rPr>
        <b/>
        <sz val="10"/>
        <color rgb="FF000000"/>
        <rFont val="Calibri"/>
        <family val="2"/>
      </rPr>
      <t xml:space="preserve">Output 4.2.1: </t>
    </r>
    <r>
      <rPr>
        <sz val="10"/>
        <color rgb="FF000000"/>
        <rFont val="Calibri"/>
        <family val="2"/>
      </rPr>
      <t>Participatory planning and M&amp;E system</t>
    </r>
  </si>
  <si>
    <r>
      <rPr>
        <sz val="9"/>
        <color rgb="FF000000"/>
        <rFont val="Calibri"/>
        <family val="2"/>
        <scheme val="minor"/>
      </rPr>
      <t>4.2.1.1: Organize project inception workshop at Kathmandu and field level/</t>
    </r>
    <r>
      <rPr>
        <i/>
        <sz val="9"/>
        <color rgb="FF00B050"/>
        <rFont val="Calibri"/>
        <family val="2"/>
        <scheme val="minor"/>
      </rPr>
      <t>sharing meeting</t>
    </r>
  </si>
  <si>
    <t xml:space="preserve"> Carried out project results sharing workshop with findings from terminal evaluation align with phase out plan of the project</t>
  </si>
  <si>
    <t>Meetings as per prodoc, including PEC/PAC members visits to project sites focussing on PEC/PAC agendas</t>
  </si>
  <si>
    <t>Workshops to review project progresses/prepare quarterly and annual plan with project team and also with project stakeholders.  Costs also include documentation, editing, review and printing.</t>
  </si>
  <si>
    <t>Visits/travel focused on project interventions (outcomes/outputs).  Costs also include documentation, editing, review and printing.</t>
  </si>
  <si>
    <t>Multi-stakeholders including Ips, LCs, local goverments, project staff, MoFE officials - visit.  Costs also include documentation, editing, review and printing.</t>
  </si>
  <si>
    <r>
      <rPr>
        <b/>
        <sz val="10"/>
        <color rgb="FF000000"/>
        <rFont val="Calibri"/>
        <family val="2"/>
      </rPr>
      <t xml:space="preserve">Output 4.3.1: </t>
    </r>
    <r>
      <rPr>
        <sz val="10"/>
        <color rgb="FF000000"/>
        <rFont val="Calibri"/>
        <family val="2"/>
      </rPr>
      <t>Project lessons captured and disseminated to project stakeholders and to other projects and partners</t>
    </r>
  </si>
  <si>
    <t>Prepare  videos and stories of the project highlighting project interventions, ensure the GESI dimensions as part of lessons and stories (Shifted $2404 to 3.1.3.3, It also includes story writng of our working site)</t>
  </si>
  <si>
    <t>Cost includes preparing reports any policy documents review, design and printing support in PMU/MOFE/DNPWC/MITFE</t>
  </si>
  <si>
    <t xml:space="preserve">visits </t>
  </si>
  <si>
    <t>To be implemented through Technical Assistant through PMU recommendation to capacitate WWF-GEF staff</t>
  </si>
  <si>
    <t>PMU/DNPWC/MoITFE/MoFE</t>
  </si>
  <si>
    <t>Camera / Lens</t>
  </si>
  <si>
    <t>PMU/DNPWC/MoITFE</t>
  </si>
  <si>
    <t xml:space="preserve">Multi-function printer </t>
  </si>
  <si>
    <t>Motorcycle</t>
  </si>
  <si>
    <t>PMU/MoFE/DNPWC/DoFSC/MoITFE</t>
  </si>
  <si>
    <t>package</t>
  </si>
  <si>
    <t>Personnel cost included in WWF Technical assistance part which also includes monitoring visit with project stakeholders, PMU staff field visit cost as approved by WWF and staff capacity development through national/international scientific forum, project terminal evaluation</t>
  </si>
  <si>
    <t>YR 5</t>
  </si>
  <si>
    <t>FULL PROJECT WORKPLAN</t>
  </si>
  <si>
    <t>Outcome</t>
  </si>
  <si>
    <t>Output</t>
  </si>
  <si>
    <t>Activity #</t>
  </si>
  <si>
    <t>Activities</t>
  </si>
  <si>
    <t xml:space="preserve">Who
</t>
  </si>
  <si>
    <r>
      <t xml:space="preserve">Timeline
</t>
    </r>
    <r>
      <rPr>
        <i/>
        <sz val="12"/>
        <color indexed="9"/>
        <rFont val="Calibri"/>
        <family val="2"/>
      </rPr>
      <t>(Y1, Y2, Y3, etc.)</t>
    </r>
  </si>
  <si>
    <r>
      <t xml:space="preserve">Budget 
</t>
    </r>
    <r>
      <rPr>
        <sz val="9"/>
        <color rgb="FFFFFFFF"/>
        <rFont val="Calibri"/>
        <family val="2"/>
      </rPr>
      <t>(at activity, output, or outcome level)</t>
    </r>
  </si>
  <si>
    <t>COMPONENT 1: Enabling environment</t>
  </si>
  <si>
    <t xml:space="preserve">Outcome 1.1. Improved inter-sectoral coordination </t>
  </si>
  <si>
    <t>Output 1.1.1  Cross-sectoral coordination mechanisms established</t>
  </si>
  <si>
    <t>Provide support to NBCC committee (ensure gender inclusive team)</t>
  </si>
  <si>
    <t>Organize State level Biodiversity Co-ordination Committee (State 2,3,5,7 and Karnali) meetings</t>
  </si>
  <si>
    <t xml:space="preserve">Provide technical and financial support to State Biodiversity Co-ordination committee </t>
  </si>
  <si>
    <t xml:space="preserve">Organize inter-ministerial coordination mechanism for wildlife friendly infrastructure </t>
  </si>
  <si>
    <t>Organize inter-state coordination (2, 3, Gandaki, 5, Karnali, 7) for NBSAP and TAL Strategy</t>
  </si>
  <si>
    <t xml:space="preserve">Carry out cluster meetings with Municipalities </t>
  </si>
  <si>
    <t>Conduct final review of NBSAP (2014-2020)</t>
  </si>
  <si>
    <t>Provide technical and financial support to WCCB</t>
  </si>
  <si>
    <t xml:space="preserve">Field program implementation support &amp; coordination </t>
  </si>
  <si>
    <t>Outcome 1.2 Capacity increased</t>
  </si>
  <si>
    <t>Output 1.2.1  Conservation Leadership Training provided</t>
  </si>
  <si>
    <t>Conduct training to ILM coordinators</t>
  </si>
  <si>
    <t>Output 1.2.2  Training on ILM for federal and state government staff</t>
  </si>
  <si>
    <t xml:space="preserve">Conduct training on Biodiversity conservation and monitoring  </t>
  </si>
  <si>
    <t>Conduct training on Disaster Risk Management</t>
  </si>
  <si>
    <t xml:space="preserve">Orientation on roles and responsibilities for new park staff (senior/game scouts) </t>
  </si>
  <si>
    <t xml:space="preserve">Orientation on roles and responsibilities for new divisional staff </t>
  </si>
  <si>
    <t xml:space="preserve">Output 1.2.3  Small grants for innovation in ILM </t>
  </si>
  <si>
    <t xml:space="preserve">1.2.3.1 </t>
  </si>
  <si>
    <t>Provide Individual grant (Bachelors and Master's thesis)</t>
  </si>
  <si>
    <t>Provide Institutional grant to Academic Institutional and CBOs/CSOs</t>
  </si>
  <si>
    <t>Provide innovation grant to the government agencies (National Park, Forest Division, Research and Training Centre) at state level</t>
  </si>
  <si>
    <t>Component 2: Integrated Planning for Buffer Zones and Critical Corridors in TAL</t>
  </si>
  <si>
    <t>Outcome 2.1 Corridor planning for TAL corridors (Brahmadev, Karnali and Kamdi)</t>
  </si>
  <si>
    <t>Output 2.1.1. Biodiversity surveys, socio-economic surveys, and local stakeholder consultation for Brahmadev , Karnali, and Kamdi corridors to determine feasibility of appropriate models for community-based natural resource management</t>
  </si>
  <si>
    <t xml:space="preserve">Conduct assessment to update biodiversity inventory and socio-economic status in corridors (incorporating GESI aspect) </t>
  </si>
  <si>
    <t>Outcome 2.1  Corridor planning for TAL corridors (Brahmadev, Karnali and Kamdi)</t>
  </si>
  <si>
    <t>Provide technical support to review existing forest encroachment status and response options considering GESI aspect</t>
  </si>
  <si>
    <t>Prepare corridor/bottleneck assessment report with GESI integration</t>
  </si>
  <si>
    <t>Outcome 2.2 : Improved participatory planning for sustainable management of in Banke-Bardia complex</t>
  </si>
  <si>
    <t xml:space="preserve">Output 2.2.1: Land uses, biodiversity values, forest carbon, and key threats assessed, mapped, reported and disseminated to identify priority villages and forest areas in the targeted PA buffer zones and corridors </t>
  </si>
  <si>
    <t xml:space="preserve">Conduct participatory assessments in targeted PA buffer zones and corridors to identify priority community and forest areas </t>
  </si>
  <si>
    <t>Conduct resource mapping of CFUGs at corridor level and BZUCs</t>
  </si>
  <si>
    <t xml:space="preserve">Carry out consultations at identified communities </t>
  </si>
  <si>
    <t>Component 3: Forest and HWC management in TAL</t>
  </si>
  <si>
    <t>Outcome 3.1: Strengthen livelihoods and biodiversity conservation through SFM</t>
  </si>
  <si>
    <t>Output 3.1.1 Training and tools to local government on SFM</t>
  </si>
  <si>
    <t>Prepare Sustainable Forest Management Training (SFM) Manual incorporating GESI</t>
  </si>
  <si>
    <t xml:space="preserve">Provide "Training of Trainers" (TOT) to Division Forest Offices staff based on SFM Training Manual </t>
  </si>
  <si>
    <t xml:space="preserve">Establish Forest Management Information system (FMIS) including forest fire management </t>
  </si>
  <si>
    <t>Support the State Forest Directorate fire reporting system</t>
  </si>
  <si>
    <t>Support forest fire management through innovative tools and techniques such as leaf litter collection and composting (within targeted sites identified in component 2)</t>
  </si>
  <si>
    <t>Provide multi-year support for nursery to Division forest offices (within targeted sites identified in component 2)</t>
  </si>
  <si>
    <t>Output 3.1.2: TA to CFUGs, BZCFUGs and land holders for SFM</t>
  </si>
  <si>
    <t>Provide training to CFUGs and BZ CFUGs for forest management implementation (including applied SFM, restoration technique - lined with 3.1.1</t>
  </si>
  <si>
    <t>Conduct exchange visits for targeted BZ CFUG members (learning from successful UCs on fund mobilization and HWC management)</t>
  </si>
  <si>
    <t> Support BZUCs annual meetings for Bardia and Banke NP Buffer Zones (northern side)</t>
  </si>
  <si>
    <t xml:space="preserve">Provide coaching on "Governance and Financial management" for CFUGs of corridors and PA Buffer zones </t>
  </si>
  <si>
    <t>Provide support private forest development (providing seedling, irrigation, fencing)</t>
  </si>
  <si>
    <t xml:space="preserve">Support to register private forest </t>
  </si>
  <si>
    <t>Output 3.1.3 : Priority buffer zones and corridors managed sustainably</t>
  </si>
  <si>
    <t>Create revolving fund to implement forest operational plans in project targeted corridors</t>
  </si>
  <si>
    <t>Provide financial and technical support to improve livestock management (AI, fodder plant support, feeding trough, vet support, stall improvement)</t>
  </si>
  <si>
    <t>Provide financial and technical support for management of grassland and wetland in  project targeted area</t>
  </si>
  <si>
    <t>Provide financial and technical support for river bank protection in project targeted area</t>
  </si>
  <si>
    <t>Safeguard plan implementation</t>
  </si>
  <si>
    <t>Provide financial and technical support to small scale green enterprises in project targeted area</t>
  </si>
  <si>
    <t xml:space="preserve">Provide financial and technical support to develop business plan </t>
  </si>
  <si>
    <t>Outcome 3.2: Improved HWC management</t>
  </si>
  <si>
    <t>Output 3.2.1: Pilot method to reduce wildlife accidents in priority sites</t>
  </si>
  <si>
    <t xml:space="preserve">Conduct study on the wildlife traffic accident issue </t>
  </si>
  <si>
    <t>Install tools/facilities to pilot measures to reduce accidents</t>
  </si>
  <si>
    <t xml:space="preserve">Support in operation and monitoring of wildlife related traffic accidents in highway </t>
  </si>
  <si>
    <t xml:space="preserve">Support to erect fence on both sides of Sikta irrigation canal </t>
  </si>
  <si>
    <t>Output 3.2.2: Training and facilities for human wildlife conflict response</t>
  </si>
  <si>
    <t>Prepare species-specific guidelines for HWC management</t>
  </si>
  <si>
    <t xml:space="preserve">Pictorial manual on Wildlife identification and behavior in Nepali and local dialects </t>
  </si>
  <si>
    <t xml:space="preserve">Conduct training on identification and  behavior of wild animals to Divisional forest office staff </t>
  </si>
  <si>
    <t xml:space="preserve">Support Wildlife Rescue center </t>
  </si>
  <si>
    <t xml:space="preserve">Support wildlife rescue and handling equipment and training </t>
  </si>
  <si>
    <t>Output 3.2.3 : Community-based HWC mitigation and preventive action implemented</t>
  </si>
  <si>
    <t>Conduct workshop on preventive and curative measures for HWC</t>
  </si>
  <si>
    <t>Implement measures for HWC based on prepared plans (mentha plantation, biological/virtual fencing)</t>
  </si>
  <si>
    <t>Support to establish community-based insurance (crop, livestock) scheme</t>
  </si>
  <si>
    <t>Implement community-based reporting system of HWC incidents</t>
  </si>
  <si>
    <t>Output 3.3.1: Community Based Anti-poaching Units functional in priority areas</t>
  </si>
  <si>
    <t>Provide support for field gear to CBAPU members</t>
  </si>
  <si>
    <t>Provide technical and financial support for skill based training to CBAPU members</t>
  </si>
  <si>
    <t>Establish revolving fund to initiate green enterprise for CBAPUs member (link to above activities)</t>
  </si>
  <si>
    <t xml:space="preserve">Output 3.3.2: Training and operation support to Park staff, rangers on wildlife crime management </t>
  </si>
  <si>
    <t xml:space="preserve">Update training manual on illegal wildlife crime scene management </t>
  </si>
  <si>
    <t xml:space="preserve">Conduct training to investigation officers level on Illegal wildlife crime scene management </t>
  </si>
  <si>
    <t xml:space="preserve">Support Transboundary coordination at local level </t>
  </si>
  <si>
    <t>COMPONENT 4. KNM  and M&amp;E</t>
  </si>
  <si>
    <t>Output 4.1.1: Information on ILM importance shared among key stakeholders</t>
  </si>
  <si>
    <t>Organize monthly dialogue through "Jaibik Chautari" (Biodiversity Platform) at field level</t>
  </si>
  <si>
    <t>Organize annual technical thematic discussion session at center</t>
  </si>
  <si>
    <t>Establish and maintain online Landscape Knowledge Learning Platform (including project website)</t>
  </si>
  <si>
    <t>Output 4.1.2: Mass awareness products on biodiversity conservation and integrated landscape management</t>
  </si>
  <si>
    <t xml:space="preserve">Provide technical and financial support to green/eco-clubs formation and its operation </t>
  </si>
  <si>
    <t xml:space="preserve">Support annual meetings of green/eco-clubs network at district level </t>
  </si>
  <si>
    <t>Support special conservation events at local level</t>
  </si>
  <si>
    <t>Sensitize media (print and TV) on integrated landscape management</t>
  </si>
  <si>
    <t xml:space="preserve">Support radio program (local dialects) on ILM </t>
  </si>
  <si>
    <t xml:space="preserve">Outcome 4.2: Project Monitoring </t>
  </si>
  <si>
    <t>Output 4.2.1 Participatory planning and M&amp;E system</t>
  </si>
  <si>
    <t>Organize project inception workshops at Kathmandu and field level</t>
  </si>
  <si>
    <t xml:space="preserve">PAC/PEC planning review workshop (Central and Field) </t>
  </si>
  <si>
    <t>Conduct periodic (trimester) workplan review and planning sessions</t>
  </si>
  <si>
    <t>Conduct periodic and joint monitoring visits</t>
  </si>
  <si>
    <t>Conduct Safeguard Monitoring visits</t>
  </si>
  <si>
    <t>Conduct training on "participatory monitoring and evaluation" to CFUGs and relevant sub-grantees</t>
  </si>
  <si>
    <t xml:space="preserve">Capacity building/training of PSU staff (on project management - WWF network standards, report writing and GESI and safeguard) </t>
  </si>
  <si>
    <t>Organize Project Mid-term review workshops with all key stakeholders</t>
  </si>
  <si>
    <t>Conduct Project Evaluations (Mid-term and terminal evaluation - GEF/SWC)</t>
  </si>
  <si>
    <t xml:space="preserve">Output 4.3.1: Lessons captured and disseminated </t>
  </si>
  <si>
    <t xml:space="preserve">Documentation on Traditional Knowledge associated to natural resources </t>
  </si>
  <si>
    <t>Prepare success stories and videos of the project</t>
  </si>
  <si>
    <t xml:space="preserve">Print case studies and periodic project reports </t>
  </si>
  <si>
    <t xml:space="preserve">Provide financial support to participate in national/international scientific forum for field staff </t>
  </si>
  <si>
    <t xml:space="preserve">Provide financial support to publish journal articles </t>
  </si>
  <si>
    <t xml:space="preserve">Organize final project lessons sharing workshop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</si>
</sst>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 #,##0.00_ ;_ * \-#,##0.00_ ;_ * &quot;-&quot;??_ ;_ @_ "/>
    <numFmt numFmtId="165" formatCode="_(* #,##0_);_(* \(#,##0\);_(* &quot;-&quot;??_);_(@_)"/>
    <numFmt numFmtId="166" formatCode="[$Rp-421]#,##0"/>
    <numFmt numFmtId="167" formatCode="&quot;$&quot;#,##0"/>
    <numFmt numFmtId="168" formatCode="&quot;$&quot;#,##0.00"/>
    <numFmt numFmtId="169" formatCode="_(&quot;$&quot;* #,##0_);_(&quot;$&quot;* \(#,##0\);_(&quot;$&quot;* &quot;-&quot;??_);_(@_)"/>
    <numFmt numFmtId="170" formatCode="#,##0\ [$FCFA-2C0C]"/>
    <numFmt numFmtId="171" formatCode="_-* #,##0.00_-;\-* #,##0.00_-;_-* &quot;-&quot;??_-;_-@_-"/>
    <numFmt numFmtId="172" formatCode="[$₹-861]\ #,##0"/>
    <numFmt numFmtId="173" formatCode="[$₹-861]\ #,##0;\-[$₹-861]\ #,##0"/>
  </numFmts>
  <fonts count="10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6"/>
      <color theme="1" tint="0.14996795556505021"/>
      <name val="Calibri"/>
      <family val="2"/>
      <scheme val="minor"/>
    </font>
    <font>
      <b/>
      <sz val="12"/>
      <color theme="0"/>
      <name val="Calibri"/>
      <family val="2"/>
      <scheme val="minor"/>
    </font>
    <font>
      <sz val="11"/>
      <color theme="0"/>
      <name val="Calibri"/>
      <family val="2"/>
      <scheme val="minor"/>
    </font>
    <font>
      <sz val="11"/>
      <name val="Calibri"/>
      <family val="2"/>
      <scheme val="minor"/>
    </font>
    <font>
      <b/>
      <sz val="11"/>
      <name val="Calibri"/>
      <family val="2"/>
      <scheme val="minor"/>
    </font>
    <font>
      <sz val="11"/>
      <name val="Calibri"/>
      <family val="2"/>
    </font>
    <font>
      <sz val="11"/>
      <color rgb="FF000000"/>
      <name val="Calibri"/>
      <family val="2"/>
      <scheme val="minor"/>
    </font>
    <font>
      <sz val="11"/>
      <color indexed="8"/>
      <name val="Calibri"/>
      <family val="2"/>
    </font>
    <font>
      <b/>
      <sz val="11"/>
      <color theme="1"/>
      <name val="Calibri"/>
      <family val="2"/>
      <scheme val="minor"/>
    </font>
    <font>
      <sz val="11"/>
      <color theme="1" tint="0.34998626667073579"/>
      <name val="Calibri"/>
      <family val="2"/>
      <scheme val="minor"/>
    </font>
    <font>
      <b/>
      <sz val="11"/>
      <color theme="1" tint="0.14996795556505021"/>
      <name val="Calibri"/>
      <family val="2"/>
      <scheme val="minor"/>
    </font>
    <font>
      <sz val="11"/>
      <color theme="1"/>
      <name val="Calibri"/>
      <family val="2"/>
      <scheme val="minor"/>
    </font>
    <font>
      <sz val="10"/>
      <color theme="1"/>
      <name val="Calibri"/>
      <family val="2"/>
      <scheme val="minor"/>
    </font>
    <font>
      <b/>
      <sz val="16"/>
      <color rgb="FF003366"/>
      <name val="Calibri"/>
      <family val="2"/>
    </font>
    <font>
      <sz val="16"/>
      <color rgb="FF002060"/>
      <name val="Calibri"/>
      <family val="2"/>
    </font>
    <font>
      <b/>
      <sz val="16"/>
      <color theme="1" tint="0.14993743705557422"/>
      <name val="Calibri"/>
      <family val="2"/>
      <scheme val="minor"/>
    </font>
    <font>
      <b/>
      <sz val="10"/>
      <color theme="1" tint="0.14993743705557422"/>
      <name val="Calibri"/>
      <family val="2"/>
      <scheme val="minor"/>
    </font>
    <font>
      <b/>
      <sz val="10"/>
      <color theme="0"/>
      <name val="Calibri"/>
      <family val="2"/>
      <scheme val="minor"/>
    </font>
    <font>
      <b/>
      <sz val="18"/>
      <color theme="0"/>
      <name val="Calibri"/>
      <family val="2"/>
      <scheme val="minor"/>
    </font>
    <font>
      <b/>
      <sz val="16"/>
      <color theme="0"/>
      <name val="Calibri"/>
      <family val="2"/>
      <scheme val="minor"/>
    </font>
    <font>
      <b/>
      <sz val="14"/>
      <name val="Calibri"/>
      <family val="2"/>
      <scheme val="minor"/>
    </font>
    <font>
      <b/>
      <sz val="11"/>
      <name val="Calibri"/>
      <family val="2"/>
    </font>
    <font>
      <b/>
      <sz val="10"/>
      <name val="Calibri"/>
      <family val="2"/>
      <scheme val="minor"/>
    </font>
    <font>
      <b/>
      <sz val="11"/>
      <color theme="0"/>
      <name val="Calibri"/>
      <family val="2"/>
      <scheme val="minor"/>
    </font>
    <font>
      <b/>
      <sz val="12"/>
      <name val="Calibri"/>
      <family val="2"/>
      <scheme val="minor"/>
    </font>
    <font>
      <sz val="12"/>
      <name val="Calibri"/>
      <family val="2"/>
      <scheme val="minor"/>
    </font>
    <font>
      <sz val="20"/>
      <name val="Calibri"/>
      <family val="2"/>
      <scheme val="minor"/>
    </font>
    <font>
      <sz val="12"/>
      <color theme="0"/>
      <name val="Calibri"/>
      <family val="2"/>
      <scheme val="minor"/>
    </font>
    <font>
      <sz val="14"/>
      <color theme="0"/>
      <name val="Calibri"/>
      <family val="2"/>
      <scheme val="minor"/>
    </font>
    <font>
      <sz val="16"/>
      <color rgb="FF003366"/>
      <name val="Calibri"/>
      <family val="2"/>
    </font>
    <font>
      <sz val="10"/>
      <name val="Calibri"/>
      <family val="2"/>
      <scheme val="minor"/>
    </font>
    <font>
      <sz val="12"/>
      <name val="Arial"/>
      <family val="2"/>
    </font>
    <font>
      <sz val="10"/>
      <name val="Arial"/>
      <family val="2"/>
    </font>
    <font>
      <sz val="10"/>
      <color indexed="9"/>
      <name val="Calibri"/>
      <family val="2"/>
    </font>
    <font>
      <b/>
      <sz val="9"/>
      <name val="Tahoma"/>
      <family val="2"/>
    </font>
    <font>
      <sz val="9"/>
      <name val="Tahoma"/>
      <family val="2"/>
    </font>
    <font>
      <sz val="10"/>
      <name val="Calibri"/>
      <family val="2"/>
    </font>
    <font>
      <b/>
      <sz val="18"/>
      <color theme="1" tint="0.14996795556505021"/>
      <name val="Calibri"/>
      <family val="2"/>
      <scheme val="minor"/>
    </font>
    <font>
      <b/>
      <sz val="26"/>
      <color theme="1" tint="0.14996795556505021"/>
      <name val="Calibri"/>
      <family val="2"/>
      <scheme val="minor"/>
    </font>
    <font>
      <sz val="9"/>
      <name val="Calibri"/>
      <family val="2"/>
      <scheme val="minor"/>
    </font>
    <font>
      <sz val="9"/>
      <color theme="1"/>
      <name val="Calibri"/>
      <family val="2"/>
      <scheme val="minor"/>
    </font>
    <font>
      <sz val="10"/>
      <color theme="1" tint="0.34998626667073579"/>
      <name val="Calibri"/>
      <family val="2"/>
      <scheme val="minor"/>
    </font>
    <font>
      <b/>
      <sz val="10"/>
      <name val="Calibri"/>
      <family val="2"/>
    </font>
    <font>
      <sz val="14"/>
      <color theme="1"/>
      <name val="Calibri"/>
      <family val="2"/>
      <scheme val="minor"/>
    </font>
    <font>
      <b/>
      <sz val="11"/>
      <color theme="1" tint="0.14993743705557422"/>
      <name val="Calibri"/>
      <family val="2"/>
      <scheme val="minor"/>
    </font>
    <font>
      <b/>
      <sz val="10"/>
      <color theme="1"/>
      <name val="Calibri"/>
      <family val="2"/>
      <scheme val="minor"/>
    </font>
    <font>
      <b/>
      <sz val="14"/>
      <color theme="0"/>
      <name val="Calibri"/>
      <family val="2"/>
      <scheme val="minor"/>
    </font>
    <font>
      <b/>
      <sz val="12"/>
      <color theme="1"/>
      <name val="Calibri"/>
      <family val="2"/>
      <scheme val="minor"/>
    </font>
    <font>
      <b/>
      <sz val="11"/>
      <color indexed="8"/>
      <name val="Calibri"/>
      <family val="2"/>
    </font>
    <font>
      <u/>
      <sz val="11"/>
      <color indexed="8"/>
      <name val="Calibri"/>
      <family val="2"/>
    </font>
    <font>
      <b/>
      <sz val="18"/>
      <color rgb="FF002060"/>
      <name val="Calibri"/>
      <family val="2"/>
    </font>
    <font>
      <b/>
      <sz val="24"/>
      <color rgb="FF002060"/>
      <name val="Calibri"/>
      <family val="2"/>
    </font>
    <font>
      <b/>
      <sz val="16"/>
      <color theme="1" tint="0.14999847407452621"/>
      <name val="Calibri"/>
      <family val="2"/>
      <scheme val="minor"/>
    </font>
    <font>
      <sz val="16"/>
      <color theme="1"/>
      <name val="Calibri"/>
      <family val="2"/>
      <scheme val="minor"/>
    </font>
    <font>
      <b/>
      <sz val="18"/>
      <color theme="1" tint="0.14999847407452621"/>
      <name val="Calibri"/>
      <family val="2"/>
      <scheme val="minor"/>
    </font>
    <font>
      <i/>
      <sz val="12"/>
      <color indexed="9"/>
      <name val="Calibri"/>
      <family val="2"/>
    </font>
    <font>
      <sz val="12"/>
      <color theme="1"/>
      <name val="Calibri"/>
      <family val="2"/>
      <scheme val="minor"/>
    </font>
    <font>
      <sz val="6"/>
      <color theme="0"/>
      <name val="Calibri"/>
      <family val="2"/>
      <scheme val="minor"/>
    </font>
    <font>
      <sz val="8"/>
      <name val="Calibri"/>
      <family val="2"/>
      <scheme val="minor"/>
    </font>
    <font>
      <sz val="9"/>
      <color rgb="FFFFFFFF"/>
      <name val="Calibri"/>
      <family val="2"/>
    </font>
    <font>
      <sz val="11"/>
      <color rgb="FF000000"/>
      <name val="Calibri"/>
      <family val="2"/>
    </font>
    <font>
      <b/>
      <sz val="11"/>
      <color rgb="FF000000"/>
      <name val="Calibri"/>
      <family val="2"/>
    </font>
    <font>
      <sz val="12"/>
      <color theme="1"/>
      <name val="Calibri"/>
      <family val="2"/>
    </font>
    <font>
      <b/>
      <sz val="9"/>
      <color indexed="81"/>
      <name val="Tahoma"/>
      <family val="2"/>
    </font>
    <font>
      <sz val="9"/>
      <color indexed="81"/>
      <name val="Tahoma"/>
      <family val="2"/>
    </font>
    <font>
      <sz val="12"/>
      <color rgb="FF002060"/>
      <name val="Calibri"/>
      <family val="2"/>
      <scheme val="minor"/>
    </font>
    <font>
      <sz val="9"/>
      <color rgb="FFC00000"/>
      <name val="Calibri"/>
      <family val="2"/>
      <scheme val="minor"/>
    </font>
    <font>
      <sz val="8"/>
      <color theme="1"/>
      <name val="Calibri"/>
      <family val="2"/>
      <scheme val="minor"/>
    </font>
    <font>
      <sz val="9"/>
      <color rgb="FFFF0000"/>
      <name val="Calibri"/>
      <family val="2"/>
      <scheme val="minor"/>
    </font>
    <font>
      <b/>
      <sz val="11"/>
      <color rgb="FFFF0000"/>
      <name val="Calibri"/>
      <family val="2"/>
      <scheme val="minor"/>
    </font>
    <font>
      <sz val="11"/>
      <color rgb="FFFF0000"/>
      <name val="Calibri"/>
      <family val="2"/>
      <scheme val="minor"/>
    </font>
    <font>
      <b/>
      <sz val="11"/>
      <color rgb="FF000000"/>
      <name val="Calibri"/>
      <family val="2"/>
      <scheme val="minor"/>
    </font>
    <font>
      <sz val="10"/>
      <color rgb="FFFF0000"/>
      <name val="Calibri"/>
      <family val="2"/>
      <scheme val="minor"/>
    </font>
    <font>
      <sz val="11"/>
      <color rgb="FF000000"/>
      <name val="Times New Roman"/>
      <family val="1"/>
    </font>
    <font>
      <sz val="9"/>
      <color rgb="FF000000"/>
      <name val="Times New Roman"/>
      <family val="1"/>
    </font>
    <font>
      <sz val="9"/>
      <name val="Times New Roman"/>
      <family val="1"/>
    </font>
    <font>
      <b/>
      <sz val="9"/>
      <color theme="1"/>
      <name val="Calibri"/>
      <family val="2"/>
      <scheme val="minor"/>
    </font>
    <font>
      <b/>
      <sz val="10"/>
      <color rgb="FF000000"/>
      <name val="Calibri"/>
      <family val="2"/>
    </font>
    <font>
      <sz val="10"/>
      <color rgb="FF000000"/>
      <name val="Calibri"/>
      <family val="2"/>
    </font>
    <font>
      <b/>
      <sz val="11"/>
      <color rgb="FF262626"/>
      <name val="Calibri"/>
      <family val="2"/>
    </font>
    <font>
      <sz val="12"/>
      <color rgb="FF000000"/>
      <name val="Calibri"/>
      <family val="2"/>
    </font>
    <font>
      <b/>
      <sz val="10"/>
      <color rgb="FFFFFFFF"/>
      <name val="Calibri"/>
      <family val="2"/>
    </font>
    <font>
      <b/>
      <sz val="12"/>
      <color rgb="FF000000"/>
      <name val="Calibri"/>
      <family val="2"/>
    </font>
    <font>
      <sz val="9"/>
      <color rgb="FF000000"/>
      <name val="Calibri"/>
      <family val="2"/>
      <scheme val="minor"/>
    </font>
    <font>
      <i/>
      <sz val="9"/>
      <color rgb="FF000000"/>
      <name val="Calibri"/>
      <family val="2"/>
      <scheme val="minor"/>
    </font>
    <font>
      <i/>
      <sz val="9"/>
      <color rgb="FF00B050"/>
      <name val="Calibri"/>
      <family val="2"/>
      <scheme val="minor"/>
    </font>
    <font>
      <strike/>
      <sz val="10"/>
      <name val="Calibri"/>
      <family val="2"/>
      <scheme val="minor"/>
    </font>
    <font>
      <strike/>
      <sz val="9"/>
      <color rgb="FFFF0000"/>
      <name val="Calibri"/>
      <family val="2"/>
      <scheme val="minor"/>
    </font>
    <font>
      <strike/>
      <sz val="11"/>
      <name val="Calibri"/>
      <family val="2"/>
      <scheme val="minor"/>
    </font>
    <font>
      <strike/>
      <sz val="9"/>
      <name val="Calibri"/>
      <family val="2"/>
      <scheme val="minor"/>
    </font>
    <font>
      <strike/>
      <sz val="9"/>
      <color theme="1"/>
      <name val="Calibri"/>
      <family val="2"/>
      <scheme val="minor"/>
    </font>
    <font>
      <strike/>
      <sz val="11"/>
      <color theme="1"/>
      <name val="Calibri"/>
      <family val="2"/>
      <scheme val="minor"/>
    </font>
    <font>
      <b/>
      <strike/>
      <sz val="11"/>
      <name val="Calibri"/>
      <family val="2"/>
      <scheme val="minor"/>
    </font>
    <font>
      <sz val="11"/>
      <color rgb="FF0070C0"/>
      <name val="Calibri"/>
      <family val="2"/>
      <scheme val="minor"/>
    </font>
    <font>
      <sz val="10"/>
      <color rgb="FF0070C0"/>
      <name val="Calibri"/>
      <family val="2"/>
      <scheme val="minor"/>
    </font>
    <font>
      <sz val="9"/>
      <color rgb="FF0070C0"/>
      <name val="Segoe UI"/>
      <family val="2"/>
    </font>
    <font>
      <sz val="9"/>
      <color rgb="FF0070C0"/>
      <name val="Calibri"/>
      <family val="2"/>
      <scheme val="minor"/>
    </font>
    <font>
      <sz val="10"/>
      <color rgb="FF000000"/>
      <name val="Calibri"/>
      <family val="2"/>
      <scheme val="minor"/>
    </font>
    <font>
      <strike/>
      <sz val="10"/>
      <color rgb="FF000000"/>
      <name val="Calibri"/>
      <family val="2"/>
      <scheme val="minor"/>
    </font>
  </fonts>
  <fills count="51">
    <fill>
      <patternFill patternType="none"/>
    </fill>
    <fill>
      <patternFill patternType="gray125"/>
    </fill>
    <fill>
      <patternFill patternType="solid">
        <fgColor theme="0" tint="-0.14996795556505021"/>
        <bgColor indexed="64"/>
      </patternFill>
    </fill>
    <fill>
      <patternFill patternType="solid">
        <fgColor rgb="FF002060"/>
        <bgColor indexed="64"/>
      </patternFill>
    </fill>
    <fill>
      <patternFill patternType="solid">
        <fgColor theme="6" tint="0.39994506668294322"/>
        <bgColor indexed="64"/>
      </patternFill>
    </fill>
    <fill>
      <patternFill patternType="solid">
        <fgColor theme="4" tint="-0.249977111117893"/>
        <bgColor indexed="64"/>
      </patternFill>
    </fill>
    <fill>
      <patternFill patternType="solid">
        <fgColor rgb="FFFFFF99"/>
        <bgColor indexed="64"/>
      </patternFill>
    </fill>
    <fill>
      <patternFill patternType="solid">
        <fgColor rgb="FFFFFFFF"/>
        <bgColor indexed="64"/>
      </patternFill>
    </fill>
    <fill>
      <patternFill patternType="solid">
        <fgColor theme="9" tint="0.79995117038483843"/>
        <bgColor indexed="64"/>
      </patternFill>
    </fill>
    <fill>
      <patternFill patternType="solid">
        <fgColor theme="0" tint="-4.9989318521683403E-2"/>
        <bgColor indexed="64"/>
      </patternFill>
    </fill>
    <fill>
      <patternFill patternType="solid">
        <fgColor theme="0" tint="-0.14993743705557422"/>
        <bgColor indexed="64"/>
      </patternFill>
    </fill>
    <fill>
      <patternFill patternType="solid">
        <fgColor theme="6" tint="0.39991454817346722"/>
        <bgColor indexed="64"/>
      </patternFill>
    </fill>
    <fill>
      <patternFill patternType="solid">
        <fgColor theme="4" tint="0.59996337778862885"/>
        <bgColor indexed="64"/>
      </patternFill>
    </fill>
    <fill>
      <patternFill patternType="solid">
        <fgColor theme="4" tint="-0.49998474074526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39994506668294322"/>
        <bgColor indexed="64"/>
      </patternFill>
    </fill>
    <fill>
      <patternFill patternType="solid">
        <fgColor theme="5" tint="0.39994506668294322"/>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indexed="64"/>
      </patternFill>
    </fill>
    <fill>
      <patternFill patternType="solid">
        <fgColor theme="8"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2499465926084170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gray0625">
        <bgColor theme="0" tint="-4.9989318521683403E-2"/>
      </patternFill>
    </fill>
    <fill>
      <patternFill patternType="solid">
        <fgColor theme="8" tint="0.39997558519241921"/>
        <bgColor indexed="64"/>
      </patternFill>
    </fill>
    <fill>
      <patternFill patternType="lightGray">
        <fgColor theme="3" tint="0.39994506668294322"/>
        <bgColor theme="6" tint="0.39994506668294322"/>
      </patternFill>
    </fill>
    <fill>
      <patternFill patternType="solid">
        <fgColor rgb="FFFFE07D"/>
        <bgColor indexed="64"/>
      </patternFill>
    </fill>
    <fill>
      <patternFill patternType="solid">
        <fgColor rgb="FFFFFFCC"/>
        <bgColor indexed="64"/>
      </patternFill>
    </fill>
    <fill>
      <patternFill patternType="solid">
        <fgColor rgb="FF339966"/>
        <bgColor indexed="64"/>
      </patternFill>
    </fill>
    <fill>
      <patternFill patternType="solid">
        <fgColor theme="6" tint="-0.249977111117893"/>
        <bgColor indexed="64"/>
      </patternFill>
    </fill>
    <fill>
      <patternFill patternType="solid">
        <fgColor rgb="FFFFFF00"/>
        <bgColor indexed="64"/>
      </patternFill>
    </fill>
    <fill>
      <patternFill patternType="solid">
        <fgColor rgb="FFDDD9C4"/>
        <bgColor rgb="FF000000"/>
      </patternFill>
    </fill>
    <fill>
      <patternFill patternType="solid">
        <fgColor rgb="FFFFFFFF"/>
        <bgColor rgb="FF000000"/>
      </patternFill>
    </fill>
    <fill>
      <patternFill patternType="solid">
        <fgColor rgb="FFFFE07D"/>
        <bgColor rgb="FF000000"/>
      </patternFill>
    </fill>
    <fill>
      <patternFill patternType="lightGray">
        <fgColor rgb="FF538DD5"/>
        <bgColor rgb="FFC4D79B"/>
      </patternFill>
    </fill>
    <fill>
      <patternFill patternType="solid">
        <fgColor rgb="FFF2F2F2"/>
        <bgColor rgb="FF000000"/>
      </patternFill>
    </fill>
    <fill>
      <patternFill patternType="solid">
        <fgColor rgb="FFFFC000"/>
        <bgColor rgb="FF000000"/>
      </patternFill>
    </fill>
    <fill>
      <patternFill patternType="solid">
        <fgColor rgb="FF366092"/>
        <bgColor rgb="FF000000"/>
      </patternFill>
    </fill>
    <fill>
      <patternFill patternType="solid">
        <fgColor rgb="FFB8CCE4"/>
        <bgColor rgb="FF000000"/>
      </patternFill>
    </fill>
  </fills>
  <borders count="28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0"/>
      </left>
      <right/>
      <top/>
      <bottom style="thin">
        <color auto="1"/>
      </bottom>
      <diagonal/>
    </border>
    <border>
      <left style="thin">
        <color theme="0"/>
      </left>
      <right style="thin">
        <color theme="0"/>
      </right>
      <top style="thin">
        <color theme="0"/>
      </top>
      <bottom style="thin">
        <color auto="1"/>
      </bottom>
      <diagonal/>
    </border>
    <border>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499984740745262"/>
      </left>
      <right style="thin">
        <color theme="0" tint="-0.499984740745262"/>
      </right>
      <top style="thin">
        <color theme="1" tint="0.34998626667073579"/>
      </top>
      <bottom style="thin">
        <color theme="1" tint="0.34998626667073579"/>
      </bottom>
      <diagonal/>
    </border>
    <border>
      <left/>
      <right/>
      <top style="thin">
        <color theme="0" tint="-0.499984740745262"/>
      </top>
      <bottom/>
      <diagonal/>
    </border>
    <border>
      <left/>
      <right/>
      <top style="thin">
        <color theme="1" tint="0.34998626667073579"/>
      </top>
      <bottom/>
      <diagonal/>
    </border>
    <border>
      <left style="thin">
        <color theme="0"/>
      </left>
      <right style="thin">
        <color theme="0"/>
      </right>
      <top/>
      <bottom style="thin">
        <color auto="1"/>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0" tint="-0.499984740745262"/>
      </top>
      <bottom/>
      <diagonal/>
    </border>
    <border>
      <left style="thin">
        <color theme="0" tint="-0.499984740745262"/>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style="thin">
        <color theme="1" tint="0.34998626667073579"/>
      </top>
      <bottom/>
      <diagonal/>
    </border>
    <border>
      <left/>
      <right/>
      <top style="medium">
        <color auto="1"/>
      </top>
      <bottom style="thin">
        <color theme="1" tint="0.34998626667073579"/>
      </bottom>
      <diagonal/>
    </border>
    <border>
      <left style="thin">
        <color theme="0"/>
      </left>
      <right style="medium">
        <color auto="1"/>
      </right>
      <top/>
      <bottom style="thin">
        <color auto="1"/>
      </bottom>
      <diagonal/>
    </border>
    <border>
      <left style="medium">
        <color auto="1"/>
      </left>
      <right style="thin">
        <color theme="0"/>
      </right>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style="thin">
        <color theme="1" tint="0.34998626667073579"/>
      </top>
      <bottom style="thin">
        <color theme="1" tint="0.34998626667073579"/>
      </bottom>
      <diagonal/>
    </border>
    <border>
      <left style="medium">
        <color auto="1"/>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medium">
        <color auto="1"/>
      </right>
      <top style="thin">
        <color theme="0" tint="-0.499984740745262"/>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auto="1"/>
      </right>
      <top style="thin">
        <color theme="1" tint="0.34998626667073579"/>
      </top>
      <bottom/>
      <diagonal/>
    </border>
    <border>
      <left style="thin">
        <color theme="1" tint="0.34998626667073579"/>
      </left>
      <right style="medium">
        <color auto="1"/>
      </right>
      <top style="thin">
        <color theme="1" tint="0.34998626667073579"/>
      </top>
      <bottom style="thin">
        <color theme="1" tint="0.34998626667073579"/>
      </bottom>
      <diagonal/>
    </border>
    <border>
      <left style="thin">
        <color theme="1" tint="0.499984740745262"/>
      </left>
      <right style="medium">
        <color auto="1"/>
      </right>
      <top/>
      <bottom/>
      <diagonal/>
    </border>
    <border>
      <left style="thin">
        <color theme="1" tint="0.499984740745262"/>
      </left>
      <right style="medium">
        <color auto="1"/>
      </right>
      <top style="thin">
        <color theme="0" tint="-0.499984740745262"/>
      </top>
      <bottom/>
      <diagonal/>
    </border>
    <border>
      <left style="thin">
        <color theme="1" tint="0.34998626667073579"/>
      </left>
      <right style="medium">
        <color auto="1"/>
      </right>
      <top/>
      <bottom/>
      <diagonal/>
    </border>
    <border>
      <left style="thin">
        <color theme="1" tint="0.499984740745262"/>
      </left>
      <right style="medium">
        <color auto="1"/>
      </right>
      <top style="thin">
        <color theme="1" tint="0.34998626667073579"/>
      </top>
      <bottom/>
      <diagonal/>
    </border>
    <border>
      <left style="medium">
        <color auto="1"/>
      </left>
      <right/>
      <top style="thin">
        <color theme="1" tint="0.34998626667073579"/>
      </top>
      <bottom style="medium">
        <color auto="1"/>
      </bottom>
      <diagonal/>
    </border>
    <border>
      <left/>
      <right/>
      <top style="thin">
        <color theme="1" tint="0.34998626667073579"/>
      </top>
      <bottom style="medium">
        <color auto="1"/>
      </bottom>
      <diagonal/>
    </border>
    <border>
      <left style="thin">
        <color theme="1" tint="0.34998626667073579"/>
      </left>
      <right/>
      <top style="thin">
        <color theme="1" tint="0.34998626667073579"/>
      </top>
      <bottom style="medium">
        <color auto="1"/>
      </bottom>
      <diagonal/>
    </border>
    <border>
      <left/>
      <right style="thin">
        <color theme="1" tint="0.34998626667073579"/>
      </right>
      <top style="thin">
        <color theme="1" tint="0.34998626667073579"/>
      </top>
      <bottom style="medium">
        <color auto="1"/>
      </bottom>
      <diagonal/>
    </border>
    <border>
      <left style="medium">
        <color auto="1"/>
      </left>
      <right/>
      <top/>
      <bottom style="thin">
        <color theme="1" tint="0.34998626667073579"/>
      </bottom>
      <diagonal/>
    </border>
    <border>
      <left/>
      <right style="thin">
        <color theme="1" tint="0.499984740745262"/>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auto="1"/>
      </bottom>
      <diagonal/>
    </border>
    <border>
      <left style="thin">
        <color theme="1" tint="0.34998626667073579"/>
      </left>
      <right style="thin">
        <color theme="1" tint="0.34998626667073579"/>
      </right>
      <top style="thin">
        <color auto="1"/>
      </top>
      <bottom/>
      <diagonal/>
    </border>
    <border>
      <left/>
      <right style="medium">
        <color auto="1"/>
      </right>
      <top style="thin">
        <color theme="1" tint="0.34998626667073579"/>
      </top>
      <bottom style="medium">
        <color auto="1"/>
      </bottom>
      <diagonal/>
    </border>
    <border>
      <left style="thin">
        <color theme="1" tint="0.34998626667073579"/>
      </left>
      <right style="thin">
        <color theme="1" tint="0.34998626667073579"/>
      </right>
      <top style="thin">
        <color theme="1" tint="0.34998626667073579"/>
      </top>
      <bottom style="medium">
        <color auto="1"/>
      </bottom>
      <diagonal/>
    </border>
    <border>
      <left style="thin">
        <color theme="1" tint="0.34998626667073579"/>
      </left>
      <right style="medium">
        <color auto="1"/>
      </right>
      <top style="thin">
        <color theme="1" tint="0.34998626667073579"/>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thin">
        <color auto="1"/>
      </left>
      <right style="thin">
        <color auto="1"/>
      </right>
      <top style="thin">
        <color theme="0" tint="-0.499984740745262"/>
      </top>
      <bottom style="thin">
        <color auto="1"/>
      </bottom>
      <diagonal/>
    </border>
    <border>
      <left/>
      <right/>
      <top style="thin">
        <color theme="0" tint="-0.499984740745262"/>
      </top>
      <bottom style="thin">
        <color auto="1"/>
      </bottom>
      <diagonal/>
    </border>
    <border>
      <left style="medium">
        <color auto="1"/>
      </left>
      <right style="thin">
        <color auto="1"/>
      </right>
      <top style="thin">
        <color theme="0" tint="-0.499984740745262"/>
      </top>
      <bottom style="thin">
        <color auto="1"/>
      </bottom>
      <diagonal/>
    </border>
    <border>
      <left style="thin">
        <color auto="1"/>
      </left>
      <right style="medium">
        <color auto="1"/>
      </right>
      <top style="thin">
        <color theme="0" tint="-0.499984740745262"/>
      </top>
      <bottom style="thin">
        <color auto="1"/>
      </bottom>
      <diagonal/>
    </border>
    <border>
      <left style="thin">
        <color auto="1"/>
      </left>
      <right style="thin">
        <color auto="1"/>
      </right>
      <top/>
      <bottom style="thin">
        <color theme="0" tint="-0.499984740745262"/>
      </bottom>
      <diagonal/>
    </border>
    <border>
      <left/>
      <right/>
      <top/>
      <bottom style="thin">
        <color theme="0" tint="-0.499984740745262"/>
      </bottom>
      <diagonal/>
    </border>
    <border>
      <left style="medium">
        <color auto="1"/>
      </left>
      <right style="thin">
        <color auto="1"/>
      </right>
      <top/>
      <bottom style="thin">
        <color theme="0" tint="-0.499984740745262"/>
      </bottom>
      <diagonal/>
    </border>
    <border>
      <left style="thin">
        <color auto="1"/>
      </left>
      <right style="medium">
        <color auto="1"/>
      </right>
      <top/>
      <bottom style="thin">
        <color theme="0" tint="-0.499984740745262"/>
      </bottom>
      <diagonal/>
    </border>
    <border>
      <left style="thin">
        <color auto="1"/>
      </left>
      <right style="thin">
        <color auto="1"/>
      </right>
      <top style="thin">
        <color auto="1"/>
      </top>
      <bottom style="thin">
        <color theme="0" tint="-0.24994659260841701"/>
      </bottom>
      <diagonal/>
    </border>
    <border>
      <left/>
      <right/>
      <top style="thin">
        <color auto="1"/>
      </top>
      <bottom style="thin">
        <color theme="0" tint="-0.24994659260841701"/>
      </bottom>
      <diagonal/>
    </border>
    <border>
      <left style="medium">
        <color auto="1"/>
      </left>
      <right style="thin">
        <color auto="1"/>
      </right>
      <top style="thin">
        <color auto="1"/>
      </top>
      <bottom style="thin">
        <color theme="0" tint="-0.24994659260841701"/>
      </bottom>
      <diagonal/>
    </border>
    <border>
      <left style="thin">
        <color auto="1"/>
      </left>
      <right style="medium">
        <color auto="1"/>
      </right>
      <top style="thin">
        <color auto="1"/>
      </top>
      <bottom style="thin">
        <color theme="0" tint="-0.2499465926084170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thin">
        <color theme="0" tint="-0.24994659260841701"/>
      </top>
      <bottom style="thin">
        <color theme="1" tint="0.34998626667073579"/>
      </bottom>
      <diagonal/>
    </border>
    <border>
      <left/>
      <right/>
      <top style="thin">
        <color theme="0" tint="-0.24994659260841701"/>
      </top>
      <bottom style="thin">
        <color theme="1" tint="0.34998626667073579"/>
      </bottom>
      <diagonal/>
    </border>
    <border>
      <left/>
      <right style="thin">
        <color theme="1" tint="0.34998626667073579"/>
      </right>
      <top style="thin">
        <color theme="0" tint="-0.24994659260841701"/>
      </top>
      <bottom style="thin">
        <color theme="1" tint="0.34998626667073579"/>
      </bottom>
      <diagonal/>
    </border>
    <border>
      <left/>
      <right style="medium">
        <color auto="1"/>
      </right>
      <top style="thin">
        <color theme="0" tint="-0.24994659260841701"/>
      </top>
      <bottom style="thin">
        <color theme="1" tint="0.34998626667073579"/>
      </bottom>
      <diagonal/>
    </border>
    <border>
      <left style="thin">
        <color theme="0" tint="-0.499984740745262"/>
      </left>
      <right style="thin">
        <color theme="1" tint="0.34998626667073579"/>
      </right>
      <top/>
      <bottom/>
      <diagonal/>
    </border>
    <border>
      <left/>
      <right style="thin">
        <color theme="1" tint="0.499984740745262"/>
      </right>
      <top style="thin">
        <color theme="1" tint="0.34998626667073579"/>
      </top>
      <bottom style="thin">
        <color theme="0" tint="-0.14996795556505021"/>
      </bottom>
      <diagonal/>
    </border>
    <border>
      <left/>
      <right style="thin">
        <color theme="1" tint="0.499984740745262"/>
      </right>
      <top style="thin">
        <color theme="0" tint="-0.14996795556505021"/>
      </top>
      <bottom style="thin">
        <color theme="0" tint="-0.14996795556505021"/>
      </bottom>
      <diagonal/>
    </border>
    <border>
      <left/>
      <right style="thin">
        <color theme="0"/>
      </right>
      <top/>
      <bottom style="thin">
        <color auto="1"/>
      </bottom>
      <diagonal/>
    </border>
    <border>
      <left style="thin">
        <color theme="1" tint="0.34998626667073579"/>
      </left>
      <right style="thin">
        <color theme="0" tint="-0.499984740745262"/>
      </right>
      <top/>
      <bottom/>
      <diagonal/>
    </border>
    <border>
      <left style="thin">
        <color theme="0" tint="-0.499984740745262"/>
      </left>
      <right style="thin">
        <color theme="1" tint="0.34998626667073579"/>
      </right>
      <top style="thin">
        <color theme="0"/>
      </top>
      <bottom style="thin">
        <color auto="1"/>
      </bottom>
      <diagonal/>
    </border>
    <border>
      <left style="thin">
        <color theme="1" tint="0.34998626667073579"/>
      </left>
      <right style="thin">
        <color theme="0" tint="-0.499984740745262"/>
      </right>
      <top style="thin">
        <color auto="1"/>
      </top>
      <bottom/>
      <diagonal/>
    </border>
    <border>
      <left style="thin">
        <color theme="0" tint="-0.499984740745262"/>
      </left>
      <right style="thin">
        <color theme="1" tint="0.34998626667073579"/>
      </right>
      <top style="thin">
        <color auto="1"/>
      </top>
      <bottom/>
      <diagonal/>
    </border>
    <border>
      <left style="thin">
        <color theme="1" tint="0.34998626667073579"/>
      </left>
      <right style="thin">
        <color theme="0" tint="-0.499984740745262"/>
      </right>
      <top style="thin">
        <color theme="1" tint="0.34998626667073579"/>
      </top>
      <bottom style="thin">
        <color theme="1" tint="0.34998626667073579"/>
      </bottom>
      <diagonal/>
    </border>
    <border>
      <left style="thin">
        <color theme="1" tint="0.34998626667073579"/>
      </left>
      <right style="thin">
        <color theme="0" tint="-0.499984740745262"/>
      </right>
      <top style="thin">
        <color theme="0" tint="-0.24994659260841701"/>
      </top>
      <bottom style="thin">
        <color theme="1" tint="0.34998626667073579"/>
      </bottom>
      <diagonal/>
    </border>
    <border>
      <left style="thin">
        <color theme="0" tint="-0.499984740745262"/>
      </left>
      <right style="thin">
        <color theme="1" tint="0.34998626667073579"/>
      </right>
      <top style="thin">
        <color theme="0" tint="-0.24994659260841701"/>
      </top>
      <bottom style="thin">
        <color theme="1" tint="0.34998626667073579"/>
      </bottom>
      <diagonal/>
    </border>
    <border>
      <left style="thin">
        <color theme="0" tint="-0.499984740745262"/>
      </left>
      <right style="medium">
        <color auto="1"/>
      </right>
      <top style="thin">
        <color theme="0" tint="-0.24994659260841701"/>
      </top>
      <bottom style="thin">
        <color theme="1" tint="0.34998626667073579"/>
      </bottom>
      <diagonal/>
    </border>
    <border>
      <left style="thin">
        <color theme="1" tint="0.499984740745262"/>
      </left>
      <right style="thin">
        <color theme="1" tint="0.34998626667073579"/>
      </right>
      <top style="thin">
        <color theme="1" tint="0.34998626667073579"/>
      </top>
      <bottom style="thin">
        <color theme="1" tint="0.34998626667073579"/>
      </bottom>
      <diagonal/>
    </border>
    <border>
      <left style="medium">
        <color theme="1"/>
      </left>
      <right/>
      <top style="medium">
        <color theme="1"/>
      </top>
      <bottom/>
      <diagonal/>
    </border>
    <border>
      <left style="medium">
        <color theme="1"/>
      </left>
      <right/>
      <top/>
      <bottom style="thin">
        <color auto="1"/>
      </bottom>
      <diagonal/>
    </border>
    <border>
      <left style="medium">
        <color theme="1"/>
      </left>
      <right/>
      <top style="thin">
        <color auto="1"/>
      </top>
      <bottom/>
      <diagonal/>
    </border>
    <border>
      <left style="medium">
        <color auto="1"/>
      </left>
      <right style="medium">
        <color theme="1"/>
      </right>
      <top style="thin">
        <color theme="1" tint="0.34998626667073579"/>
      </top>
      <bottom/>
      <diagonal/>
    </border>
    <border>
      <left style="medium">
        <color auto="1"/>
      </left>
      <right style="medium">
        <color theme="1"/>
      </right>
      <top/>
      <bottom/>
      <diagonal/>
    </border>
    <border>
      <left style="medium">
        <color auto="1"/>
      </left>
      <right style="medium">
        <color theme="1"/>
      </right>
      <top/>
      <bottom style="thin">
        <color theme="0" tint="-0.499984740745262"/>
      </bottom>
      <diagonal/>
    </border>
    <border>
      <left style="medium">
        <color auto="1"/>
      </left>
      <right style="medium">
        <color theme="1"/>
      </right>
      <top style="thin">
        <color theme="0" tint="-0.499984740745262"/>
      </top>
      <bottom/>
      <diagonal/>
    </border>
    <border>
      <left style="medium">
        <color auto="1"/>
      </left>
      <right style="medium">
        <color theme="1"/>
      </right>
      <top/>
      <bottom style="thin">
        <color theme="1" tint="0.34998626667073579"/>
      </bottom>
      <diagonal/>
    </border>
    <border>
      <left style="medium">
        <color auto="1"/>
      </left>
      <right style="medium">
        <color theme="1"/>
      </right>
      <top style="thin">
        <color theme="1" tint="0.34998626667073579"/>
      </top>
      <bottom style="thin">
        <color theme="0" tint="-0.499984740745262"/>
      </bottom>
      <diagonal/>
    </border>
    <border>
      <left style="medium">
        <color auto="1"/>
      </left>
      <right style="medium">
        <color theme="1"/>
      </right>
      <top style="thin">
        <color theme="0" tint="-0.499984740745262"/>
      </top>
      <bottom style="thin">
        <color theme="0" tint="-0.499984740745262"/>
      </bottom>
      <diagonal/>
    </border>
    <border>
      <left style="medium">
        <color auto="1"/>
      </left>
      <right style="medium">
        <color auto="1"/>
      </right>
      <top/>
      <bottom style="thin">
        <color theme="1" tint="0.34998626667073579"/>
      </bottom>
      <diagonal/>
    </border>
    <border>
      <left style="medium">
        <color auto="1"/>
      </left>
      <right style="medium">
        <color auto="1"/>
      </right>
      <top style="thin">
        <color theme="1" tint="0.34998626667073579"/>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1" tint="0.34998626667073579"/>
      </left>
      <right style="thin">
        <color theme="1" tint="0.34998626667073579"/>
      </right>
      <top style="medium">
        <color auto="1"/>
      </top>
      <bottom style="thin">
        <color theme="1" tint="0.34998626667073579"/>
      </bottom>
      <diagonal/>
    </border>
    <border>
      <left style="thin">
        <color theme="1" tint="0.34998626667073579"/>
      </left>
      <right style="thin">
        <color theme="1" tint="0.34998626667073579"/>
      </right>
      <top/>
      <bottom style="thin">
        <color theme="0" tint="-0.24994659260841701"/>
      </bottom>
      <diagonal/>
    </border>
    <border>
      <left style="medium">
        <color auto="1"/>
      </left>
      <right/>
      <top style="medium">
        <color auto="1"/>
      </top>
      <bottom style="thin">
        <color auto="1"/>
      </bottom>
      <diagonal/>
    </border>
    <border>
      <left style="thin">
        <color theme="0"/>
      </left>
      <right/>
      <top style="thin">
        <color auto="1"/>
      </top>
      <bottom style="thin">
        <color theme="0"/>
      </bottom>
      <diagonal/>
    </border>
    <border>
      <left/>
      <right/>
      <top style="thin">
        <color auto="1"/>
      </top>
      <bottom style="thin">
        <color theme="0"/>
      </bottom>
      <diagonal/>
    </border>
    <border>
      <left style="thin">
        <color theme="1" tint="0.34998626667073579"/>
      </left>
      <right style="thin">
        <color theme="0" tint="-0.499984740745262"/>
      </right>
      <top style="thin">
        <color auto="1"/>
      </top>
      <bottom style="thin">
        <color theme="0"/>
      </bottom>
      <diagonal/>
    </border>
    <border>
      <left/>
      <right style="thin">
        <color theme="0"/>
      </right>
      <top style="thin">
        <color auto="1"/>
      </top>
      <bottom/>
      <diagonal/>
    </border>
    <border>
      <left style="thin">
        <color theme="0"/>
      </left>
      <right style="medium">
        <color auto="1"/>
      </right>
      <top style="thin">
        <color auto="1"/>
      </top>
      <bottom/>
      <diagonal/>
    </border>
    <border>
      <left style="medium">
        <color auto="1"/>
      </left>
      <right style="thin">
        <color theme="0"/>
      </right>
      <top style="thin">
        <color auto="1"/>
      </top>
      <bottom/>
      <diagonal/>
    </border>
    <border>
      <left style="thin">
        <color theme="0"/>
      </left>
      <right style="thin">
        <color theme="0"/>
      </right>
      <top style="thin">
        <color auto="1"/>
      </top>
      <bottom/>
      <diagonal/>
    </border>
    <border>
      <left style="thin">
        <color theme="0"/>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thin">
        <color theme="1" tint="0.34998626667073579"/>
      </top>
      <bottom style="thin">
        <color theme="1" tint="0.34998626667073579"/>
      </bottom>
      <diagonal/>
    </border>
    <border>
      <left style="thin">
        <color theme="1" tint="0.499984740745262"/>
      </left>
      <right style="thin">
        <color theme="1" tint="0.499984740745262"/>
      </right>
      <top style="thin">
        <color auto="1"/>
      </top>
      <bottom/>
      <diagonal/>
    </border>
    <border>
      <left style="thin">
        <color theme="1" tint="0.499984740745262"/>
      </left>
      <right style="thin">
        <color theme="1" tint="0.499984740745262"/>
      </right>
      <top style="thin">
        <color auto="1"/>
      </top>
      <bottom style="thin">
        <color auto="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0" tint="-0.24994659260841701"/>
      </top>
      <bottom style="thin">
        <color theme="1" tint="0.34998626667073579"/>
      </bottom>
      <diagonal/>
    </border>
    <border>
      <left/>
      <right style="thin">
        <color theme="1" tint="0.34998626667073579"/>
      </right>
      <top/>
      <bottom style="thin">
        <color theme="0" tint="-0.24994659260841701"/>
      </bottom>
      <diagonal/>
    </border>
    <border>
      <left style="thin">
        <color theme="1" tint="0.34998626667073579"/>
      </left>
      <right/>
      <top/>
      <bottom/>
      <diagonal/>
    </border>
    <border>
      <left/>
      <right style="thin">
        <color theme="1" tint="0.499984740745262"/>
      </right>
      <top/>
      <bottom style="thin">
        <color theme="0" tint="-0.14996795556505021"/>
      </bottom>
      <diagonal/>
    </border>
    <border>
      <left/>
      <right/>
      <top style="thin">
        <color theme="0"/>
      </top>
      <bottom style="thin">
        <color auto="1"/>
      </bottom>
      <diagonal/>
    </border>
    <border>
      <left/>
      <right style="thin">
        <color auto="1"/>
      </right>
      <top style="thin">
        <color auto="1"/>
      </top>
      <bottom style="thin">
        <color auto="1"/>
      </bottom>
      <diagonal/>
    </border>
    <border>
      <left/>
      <right style="thin">
        <color theme="0"/>
      </right>
      <top style="thin">
        <color auto="1"/>
      </top>
      <bottom style="thin">
        <color theme="0"/>
      </bottom>
      <diagonal/>
    </border>
    <border>
      <left style="thin">
        <color theme="1" tint="0.34998626667073579"/>
      </left>
      <right style="thin">
        <color theme="0" tint="-0.24994659260841701"/>
      </right>
      <top style="thin">
        <color theme="1" tint="0.34998626667073579"/>
      </top>
      <bottom style="thin">
        <color theme="1" tint="0.34998626667073579"/>
      </bottom>
      <diagonal/>
    </border>
    <border>
      <left/>
      <right/>
      <top/>
      <bottom style="thin">
        <color theme="0" tint="-0.24994659260841701"/>
      </bottom>
      <diagonal/>
    </border>
    <border>
      <left style="thin">
        <color theme="1" tint="0.499984740745262"/>
      </left>
      <right style="thin">
        <color theme="1" tint="0.34998626667073579"/>
      </right>
      <top style="thin">
        <color theme="0" tint="-0.24994659260841701"/>
      </top>
      <bottom style="thin">
        <color theme="1" tint="0.34998626667073579"/>
      </bottom>
      <diagonal/>
    </border>
    <border>
      <left style="thin">
        <color theme="1" tint="0.34998626667073579"/>
      </left>
      <right/>
      <top style="thin">
        <color theme="1" tint="0.34998626667073579"/>
      </top>
      <bottom/>
      <diagonal/>
    </border>
    <border>
      <left style="thin">
        <color theme="1" tint="0.499984740745262"/>
      </left>
      <right/>
      <top style="thin">
        <color theme="0" tint="-0.24994659260841701"/>
      </top>
      <bottom style="thin">
        <color theme="1" tint="0.34998626667073579"/>
      </bottom>
      <diagonal/>
    </border>
    <border>
      <left style="thin">
        <color theme="1" tint="0.34998626667073579"/>
      </left>
      <right style="thin">
        <color theme="0" tint="-0.34998626667073579"/>
      </right>
      <top style="thin">
        <color theme="1" tint="0.34998626667073579"/>
      </top>
      <bottom style="thin">
        <color theme="1" tint="0.34998626667073579"/>
      </bottom>
      <diagonal/>
    </border>
    <border>
      <left style="thin">
        <color theme="0" tint="-0.34998626667073579"/>
      </left>
      <right style="thin">
        <color theme="0" tint="-0.34998626667073579"/>
      </right>
      <top style="thin">
        <color theme="1" tint="0.34998626667073579"/>
      </top>
      <bottom style="thin">
        <color theme="1" tint="0.34998626667073579"/>
      </bottom>
      <diagonal/>
    </border>
    <border>
      <left style="thin">
        <color theme="1" tint="0.34998626667073579"/>
      </left>
      <right/>
      <top/>
      <bottom style="thin">
        <color theme="0" tint="-0.24994659260841701"/>
      </bottom>
      <diagonal/>
    </border>
    <border>
      <left style="thin">
        <color auto="1"/>
      </left>
      <right style="thin">
        <color theme="0" tint="-0.499984740745262"/>
      </right>
      <top style="thin">
        <color theme="0" tint="-0.499984740745262"/>
      </top>
      <bottom style="thin">
        <color theme="0" tint="-0.499984740745262"/>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theme="0" tint="-0.499984740745262"/>
      </left>
      <right/>
      <top style="thin">
        <color auto="1"/>
      </top>
      <bottom/>
      <diagonal/>
    </border>
    <border>
      <left style="thin">
        <color theme="0" tint="-0.499984740745262"/>
      </left>
      <right style="thin">
        <color theme="0" tint="-0.499984740745262"/>
      </right>
      <top style="thin">
        <color auto="1"/>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1" tint="0.34998626667073579"/>
      </top>
      <bottom style="thin">
        <color theme="1" tint="0.34998626667073579"/>
      </bottom>
      <diagonal/>
    </border>
    <border>
      <left style="medium">
        <color auto="1"/>
      </left>
      <right style="medium">
        <color indexed="64"/>
      </right>
      <top style="medium">
        <color indexed="64"/>
      </top>
      <bottom style="thin">
        <color auto="1"/>
      </bottom>
      <diagonal/>
    </border>
    <border>
      <left style="medium">
        <color auto="1"/>
      </left>
      <right style="medium">
        <color indexed="64"/>
      </right>
      <top/>
      <bottom style="thin">
        <color auto="1"/>
      </bottom>
      <diagonal/>
    </border>
    <border>
      <left style="medium">
        <color indexed="64"/>
      </left>
      <right style="thin">
        <color theme="1" tint="0.499984740745262"/>
      </right>
      <top/>
      <bottom style="thin">
        <color theme="0" tint="-0.14996795556505021"/>
      </bottom>
      <diagonal/>
    </border>
    <border>
      <left/>
      <right style="medium">
        <color auto="1"/>
      </right>
      <top/>
      <bottom style="thin">
        <color theme="1" tint="0.34998626667073579"/>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medium">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auto="1"/>
      </left>
      <right/>
      <top style="thin">
        <color indexed="64"/>
      </top>
      <bottom style="thin">
        <color theme="1" tint="0.34998626667073579"/>
      </bottom>
      <diagonal/>
    </border>
    <border>
      <left/>
      <right/>
      <top style="thin">
        <color indexed="64"/>
      </top>
      <bottom style="thin">
        <color theme="1" tint="0.34998626667073579"/>
      </bottom>
      <diagonal/>
    </border>
    <border>
      <left/>
      <right style="medium">
        <color auto="1"/>
      </right>
      <top style="thin">
        <color indexed="64"/>
      </top>
      <bottom style="thin">
        <color theme="1" tint="0.34998626667073579"/>
      </bottom>
      <diagonal/>
    </border>
    <border>
      <left style="thin">
        <color theme="0" tint="-0.499984740745262"/>
      </left>
      <right style="medium">
        <color indexed="64"/>
      </right>
      <top style="thin">
        <color theme="1" tint="0.34998626667073579"/>
      </top>
      <bottom style="thin">
        <color theme="1" tint="0.34998626667073579"/>
      </bottom>
      <diagonal/>
    </border>
    <border>
      <left style="medium">
        <color theme="1"/>
      </left>
      <right/>
      <top/>
      <bottom/>
      <diagonal/>
    </border>
    <border>
      <left/>
      <right style="thin">
        <color theme="1" tint="0.499984740745262"/>
      </right>
      <top style="thin">
        <color theme="0" tint="-0.499984740745262"/>
      </top>
      <bottom style="thin">
        <color theme="0" tint="-0.499984740745262"/>
      </bottom>
      <diagonal/>
    </border>
    <border>
      <left style="thin">
        <color theme="1" tint="0.499984740745262"/>
      </left>
      <right style="thin">
        <color theme="1" tint="0.499984740745262"/>
      </right>
      <top/>
      <bottom style="thin">
        <color theme="0" tint="-0.499984740745262"/>
      </bottom>
      <diagonal/>
    </border>
    <border>
      <left style="thin">
        <color theme="1" tint="0.499984740745262"/>
      </left>
      <right style="medium">
        <color auto="1"/>
      </right>
      <top/>
      <bottom style="thin">
        <color theme="0" tint="-0.499984740745262"/>
      </bottom>
      <diagonal/>
    </border>
    <border>
      <left/>
      <right style="thin">
        <color theme="1" tint="0.499984740745262"/>
      </right>
      <top style="thin">
        <color auto="1"/>
      </top>
      <bottom/>
      <diagonal/>
    </border>
    <border>
      <left/>
      <right style="thin">
        <color theme="1" tint="0.499984740745262"/>
      </right>
      <top/>
      <bottom style="thin">
        <color theme="0" tint="-0.499984740745262"/>
      </bottom>
      <diagonal/>
    </border>
    <border>
      <left/>
      <right style="thin">
        <color theme="1" tint="0.499984740745262"/>
      </right>
      <top style="thin">
        <color theme="0" tint="-0.499984740745262"/>
      </top>
      <bottom style="double">
        <color auto="1"/>
      </bottom>
      <diagonal/>
    </border>
    <border>
      <left style="thin">
        <color theme="1" tint="0.499984740745262"/>
      </left>
      <right style="thin">
        <color theme="1" tint="0.499984740745262"/>
      </right>
      <top/>
      <bottom style="double">
        <color auto="1"/>
      </bottom>
      <diagonal/>
    </border>
    <border>
      <left style="thin">
        <color theme="1" tint="0.499984740745262"/>
      </left>
      <right style="medium">
        <color auto="1"/>
      </right>
      <top/>
      <bottom style="double">
        <color auto="1"/>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right style="medium">
        <color auto="1"/>
      </right>
      <top style="double">
        <color auto="1"/>
      </top>
      <bottom style="double">
        <color auto="1"/>
      </bottom>
      <diagonal/>
    </border>
    <border>
      <left/>
      <right/>
      <top style="double">
        <color auto="1"/>
      </top>
      <bottom/>
      <diagonal/>
    </border>
    <border>
      <left style="thin">
        <color theme="1" tint="0.499984740745262"/>
      </left>
      <right style="thin">
        <color theme="1" tint="0.499984740745262"/>
      </right>
      <top style="double">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top style="double">
        <color auto="1"/>
      </top>
      <bottom style="double">
        <color auto="1"/>
      </bottom>
      <diagonal/>
    </border>
    <border>
      <left style="thin">
        <color theme="1" tint="0.499984740745262"/>
      </left>
      <right style="thin">
        <color theme="1" tint="0.499984740745262"/>
      </right>
      <top style="double">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medium">
        <color auto="1"/>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style="medium">
        <color auto="1"/>
      </right>
      <top style="thin">
        <color theme="1" tint="0.499984740745262"/>
      </top>
      <bottom/>
      <diagonal/>
    </border>
    <border>
      <left style="thin">
        <color auto="1"/>
      </left>
      <right style="thin">
        <color auto="1"/>
      </right>
      <top style="thin">
        <color theme="0" tint="-0.24994659260841701"/>
      </top>
      <bottom style="thin">
        <color auto="1"/>
      </bottom>
      <diagonal/>
    </border>
    <border>
      <left/>
      <right/>
      <top style="thin">
        <color theme="0" tint="-0.24994659260841701"/>
      </top>
      <bottom style="thin">
        <color auto="1"/>
      </bottom>
      <diagonal/>
    </border>
    <border>
      <left style="medium">
        <color auto="1"/>
      </left>
      <right style="thin">
        <color auto="1"/>
      </right>
      <top style="thin">
        <color theme="0" tint="-0.24994659260841701"/>
      </top>
      <bottom style="thin">
        <color auto="1"/>
      </bottom>
      <diagonal/>
    </border>
    <border>
      <left style="thin">
        <color auto="1"/>
      </left>
      <right style="medium">
        <color auto="1"/>
      </right>
      <top style="thin">
        <color theme="0" tint="-0.24994659260841701"/>
      </top>
      <bottom style="thin">
        <color auto="1"/>
      </bottom>
      <diagonal/>
    </border>
    <border>
      <left style="thin">
        <color auto="1"/>
      </left>
      <right style="thin">
        <color auto="1"/>
      </right>
      <top style="thin">
        <color auto="1"/>
      </top>
      <bottom style="thin">
        <color theme="0" tint="-0.14996795556505021"/>
      </bottom>
      <diagonal/>
    </border>
    <border>
      <left/>
      <right/>
      <top style="thin">
        <color auto="1"/>
      </top>
      <bottom style="thin">
        <color theme="0" tint="-0.14996795556505021"/>
      </bottom>
      <diagonal/>
    </border>
    <border>
      <left style="medium">
        <color auto="1"/>
      </left>
      <right style="thin">
        <color auto="1"/>
      </right>
      <top style="thin">
        <color auto="1"/>
      </top>
      <bottom style="thin">
        <color theme="0" tint="-0.14996795556505021"/>
      </bottom>
      <diagonal/>
    </border>
    <border>
      <left style="thin">
        <color auto="1"/>
      </left>
      <right style="medium">
        <color auto="1"/>
      </right>
      <top style="thin">
        <color auto="1"/>
      </top>
      <bottom style="thin">
        <color theme="0" tint="-0.14996795556505021"/>
      </bottom>
      <diagonal/>
    </border>
    <border>
      <left style="thin">
        <color auto="1"/>
      </left>
      <right style="thin">
        <color auto="1"/>
      </right>
      <top style="thin">
        <color theme="0" tint="-0.14996795556505021"/>
      </top>
      <bottom style="thin">
        <color auto="1"/>
      </bottom>
      <diagonal/>
    </border>
    <border>
      <left/>
      <right/>
      <top style="thin">
        <color theme="0" tint="-0.14996795556505021"/>
      </top>
      <bottom style="thin">
        <color auto="1"/>
      </bottom>
      <diagonal/>
    </border>
    <border>
      <left style="medium">
        <color auto="1"/>
      </left>
      <right style="thin">
        <color auto="1"/>
      </right>
      <top style="thin">
        <color theme="0" tint="-0.14996795556505021"/>
      </top>
      <bottom style="thin">
        <color auto="1"/>
      </bottom>
      <diagonal/>
    </border>
    <border>
      <left style="thin">
        <color auto="1"/>
      </left>
      <right style="medium">
        <color auto="1"/>
      </right>
      <top style="thin">
        <color theme="0" tint="-0.14996795556505021"/>
      </top>
      <bottom style="thin">
        <color auto="1"/>
      </bottom>
      <diagonal/>
    </border>
    <border>
      <left style="thin">
        <color auto="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auto="1"/>
      </left>
      <right style="thin">
        <color auto="1"/>
      </right>
      <top style="thin">
        <color theme="0" tint="-0.24994659260841701"/>
      </top>
      <bottom style="thin">
        <color theme="0" tint="-0.24994659260841701"/>
      </bottom>
      <diagonal/>
    </border>
    <border>
      <left style="thin">
        <color auto="1"/>
      </left>
      <right style="medium">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style="medium">
        <color auto="1"/>
      </left>
      <right style="thin">
        <color auto="1"/>
      </right>
      <top style="thin">
        <color theme="0" tint="-0.24994659260841701"/>
      </top>
      <bottom style="thin">
        <color theme="0" tint="-0.499984740745262"/>
      </bottom>
      <diagonal/>
    </border>
    <border>
      <left style="thin">
        <color auto="1"/>
      </left>
      <right style="medium">
        <color auto="1"/>
      </right>
      <top style="thin">
        <color theme="0" tint="-0.24994659260841701"/>
      </top>
      <bottom style="thin">
        <color theme="0" tint="-0.499984740745262"/>
      </bottom>
      <diagonal/>
    </border>
    <border>
      <left style="thin">
        <color auto="1"/>
      </left>
      <right style="thin">
        <color auto="1"/>
      </right>
      <top/>
      <bottom style="thin">
        <color theme="0" tint="-0.24994659260841701"/>
      </bottom>
      <diagonal/>
    </border>
    <border>
      <left style="medium">
        <color auto="1"/>
      </left>
      <right style="thin">
        <color auto="1"/>
      </right>
      <top/>
      <bottom style="thin">
        <color theme="0" tint="-0.24994659260841701"/>
      </bottom>
      <diagonal/>
    </border>
    <border>
      <left style="thin">
        <color auto="1"/>
      </left>
      <right style="medium">
        <color auto="1"/>
      </right>
      <top/>
      <bottom style="thin">
        <color theme="0" tint="-0.24994659260841701"/>
      </bottom>
      <diagonal/>
    </border>
    <border>
      <left style="thin">
        <color auto="1"/>
      </left>
      <right style="thin">
        <color auto="1"/>
      </right>
      <top style="thin">
        <color theme="0" tint="-0.24994659260841701"/>
      </top>
      <bottom/>
      <diagonal/>
    </border>
    <border>
      <left style="thin">
        <color auto="1"/>
      </left>
      <right style="thin">
        <color theme="1" tint="0.499984740745262"/>
      </right>
      <top style="thin">
        <color auto="1"/>
      </top>
      <bottom style="thin">
        <color theme="0" tint="-0.24994659260841701"/>
      </bottom>
      <diagonal/>
    </border>
    <border>
      <left style="thin">
        <color auto="1"/>
      </left>
      <right style="thin">
        <color theme="1" tint="0.499984740745262"/>
      </right>
      <top style="thin">
        <color theme="0" tint="-0.24994659260841701"/>
      </top>
      <bottom style="thin">
        <color theme="0" tint="-0.24994659260841701"/>
      </bottom>
      <diagonal/>
    </border>
    <border>
      <left style="thin">
        <color theme="1" tint="0.499984740745262"/>
      </left>
      <right style="thin">
        <color theme="1" tint="0.499984740745262"/>
      </right>
      <top style="thin">
        <color theme="0" tint="-0.24994659260841701"/>
      </top>
      <bottom style="thin">
        <color theme="0" tint="-0.24994659260841701"/>
      </bottom>
      <diagonal/>
    </border>
    <border>
      <left/>
      <right/>
      <top style="thin">
        <color theme="0" tint="-0.24994659260841701"/>
      </top>
      <bottom/>
      <diagonal/>
    </border>
    <border>
      <left style="thin">
        <color auto="1"/>
      </left>
      <right/>
      <top style="thin">
        <color auto="1"/>
      </top>
      <bottom style="thin">
        <color theme="0" tint="-0.24994659260841701"/>
      </bottom>
      <diagonal/>
    </border>
    <border>
      <left/>
      <right style="thin">
        <color auto="1"/>
      </right>
      <top style="thin">
        <color auto="1"/>
      </top>
      <bottom style="thin">
        <color theme="0" tint="-0.24994659260841701"/>
      </bottom>
      <diagonal/>
    </border>
    <border>
      <left style="medium">
        <color auto="1"/>
      </left>
      <right style="thin">
        <color auto="1"/>
      </right>
      <top style="thin">
        <color theme="0" tint="-0.24994659260841701"/>
      </top>
      <bottom style="double">
        <color auto="1"/>
      </bottom>
      <diagonal/>
    </border>
    <border>
      <left style="thin">
        <color auto="1"/>
      </left>
      <right style="thin">
        <color auto="1"/>
      </right>
      <top style="thin">
        <color theme="0" tint="-0.24994659260841701"/>
      </top>
      <bottom style="double">
        <color auto="1"/>
      </bottom>
      <diagonal/>
    </border>
    <border>
      <left style="thin">
        <color auto="1"/>
      </left>
      <right style="medium">
        <color auto="1"/>
      </right>
      <top style="thin">
        <color theme="0" tint="-0.24994659260841701"/>
      </top>
      <bottom style="double">
        <color auto="1"/>
      </bottom>
      <diagonal/>
    </border>
    <border>
      <left style="thin">
        <color theme="1" tint="0.499984740745262"/>
      </left>
      <right style="medium">
        <color auto="1"/>
      </right>
      <top style="double">
        <color auto="1"/>
      </top>
      <bottom style="thin">
        <color auto="1"/>
      </bottom>
      <diagonal/>
    </border>
    <border>
      <left style="thin">
        <color theme="1" tint="0.499984740745262"/>
      </left>
      <right style="medium">
        <color auto="1"/>
      </right>
      <top style="thin">
        <color auto="1"/>
      </top>
      <bottom style="thin">
        <color auto="1"/>
      </bottom>
      <diagonal/>
    </border>
    <border>
      <left/>
      <right style="thin">
        <color theme="1" tint="0.34998626667073579"/>
      </right>
      <top style="medium">
        <color auto="1"/>
      </top>
      <bottom/>
      <diagonal/>
    </border>
    <border>
      <left style="thin">
        <color auto="1"/>
      </left>
      <right style="thin">
        <color theme="1" tint="0.499984740745262"/>
      </right>
      <top style="thin">
        <color auto="1"/>
      </top>
      <bottom style="thin">
        <color theme="0" tint="-0.14996795556505021"/>
      </bottom>
      <diagonal/>
    </border>
    <border>
      <left style="thin">
        <color auto="1"/>
      </left>
      <right style="medium">
        <color indexed="64"/>
      </right>
      <top style="thin">
        <color theme="0" tint="-0.14996795556505021"/>
      </top>
      <bottom style="thin">
        <color theme="0" tint="-0.14996795556505021"/>
      </bottom>
      <diagonal/>
    </border>
    <border>
      <left style="thin">
        <color auto="1"/>
      </left>
      <right style="thin">
        <color theme="1" tint="0.499984740745262"/>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auto="1"/>
      </left>
      <right style="thin">
        <color auto="1"/>
      </right>
      <top style="thin">
        <color theme="0" tint="-0.14996795556505021"/>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rgb="FF000000"/>
      </bottom>
      <diagonal/>
    </border>
    <border>
      <left style="thin">
        <color auto="1"/>
      </left>
      <right/>
      <top style="thin">
        <color theme="0" tint="-0.24994659260841701"/>
      </top>
      <bottom style="thin">
        <color theme="0" tint="-0.24994659260841701"/>
      </bottom>
      <diagonal/>
    </border>
    <border>
      <left style="thin">
        <color auto="1"/>
      </left>
      <right/>
      <top/>
      <bottom style="thin">
        <color theme="0" tint="-0.24994659260841701"/>
      </bottom>
      <diagonal/>
    </border>
    <border>
      <left style="thin">
        <color rgb="FF000000"/>
      </left>
      <right style="thin">
        <color rgb="FF000000"/>
      </right>
      <top/>
      <bottom style="thin">
        <color rgb="FF000000"/>
      </bottom>
      <diagonal/>
    </border>
    <border>
      <left style="thin">
        <color auto="1"/>
      </left>
      <right style="thin">
        <color auto="1"/>
      </right>
      <top style="thin">
        <color theme="0" tint="-0.499984740745262"/>
      </top>
      <bottom/>
      <diagonal/>
    </border>
    <border>
      <left style="thin">
        <color auto="1"/>
      </left>
      <right style="medium">
        <color auto="1"/>
      </right>
      <top style="thin">
        <color theme="0" tint="-0.499984740745262"/>
      </top>
      <bottom/>
      <diagonal/>
    </border>
    <border>
      <left style="medium">
        <color auto="1"/>
      </left>
      <right style="thin">
        <color auto="1"/>
      </right>
      <top style="thin">
        <color theme="0" tint="-0.24994659260841701"/>
      </top>
      <bottom/>
      <diagonal/>
    </border>
    <border>
      <left style="thin">
        <color auto="1"/>
      </left>
      <right style="medium">
        <color auto="1"/>
      </right>
      <top style="thin">
        <color theme="0" tint="-0.24994659260841701"/>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top style="thin">
        <color theme="0" tint="-0.24994659260841701"/>
      </top>
      <bottom style="thin">
        <color auto="1"/>
      </bottom>
      <diagonal/>
    </border>
    <border>
      <left/>
      <right style="thin">
        <color auto="1"/>
      </right>
      <top style="thin">
        <color auto="1"/>
      </top>
      <bottom style="thin">
        <color theme="0" tint="-0.14996795556505021"/>
      </bottom>
      <diagonal/>
    </border>
    <border>
      <left/>
      <right style="thin">
        <color auto="1"/>
      </right>
      <top style="thin">
        <color theme="0" tint="-0.24994659260841701"/>
      </top>
      <bottom style="thin">
        <color auto="1"/>
      </bottom>
      <diagonal/>
    </border>
    <border>
      <left style="thin">
        <color rgb="FF000000"/>
      </left>
      <right style="medium">
        <color auto="1"/>
      </right>
      <top/>
      <bottom style="thin">
        <color rgb="FF000000"/>
      </bottom>
      <diagonal/>
    </border>
    <border>
      <left style="thin">
        <color rgb="FF000000"/>
      </left>
      <right style="medium">
        <color auto="1"/>
      </right>
      <top style="thin">
        <color rgb="FF000000"/>
      </top>
      <bottom style="thin">
        <color rgb="FF000000"/>
      </bottom>
      <diagonal/>
    </border>
    <border>
      <left/>
      <right style="medium">
        <color auto="1"/>
      </right>
      <top/>
      <bottom style="thin">
        <color auto="1"/>
      </bottom>
      <diagonal/>
    </border>
    <border>
      <left/>
      <right style="medium">
        <color auto="1"/>
      </right>
      <top style="thin">
        <color theme="0" tint="-0.24994659260841701"/>
      </top>
      <bottom/>
      <diagonal/>
    </border>
    <border>
      <left style="medium">
        <color auto="1"/>
      </left>
      <right/>
      <top style="thin">
        <color theme="0" tint="-0.24994659260841701"/>
      </top>
      <bottom/>
      <diagonal/>
    </border>
    <border>
      <left style="medium">
        <color auto="1"/>
      </left>
      <right/>
      <top style="thin">
        <color theme="1" tint="0.34998626667073579"/>
      </top>
      <bottom/>
      <diagonal/>
    </border>
    <border>
      <left/>
      <right style="thin">
        <color theme="0" tint="-0.24994659260841701"/>
      </right>
      <top style="thin">
        <color theme="1" tint="0.34998626667073579"/>
      </top>
      <bottom style="thin">
        <color theme="1" tint="0.34998626667073579"/>
      </bottom>
      <diagonal/>
    </border>
    <border>
      <left/>
      <right style="thin">
        <color theme="0"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style="thin">
        <color theme="0" tint="-0.499984740745262"/>
      </right>
      <top style="thin">
        <color theme="1" tint="0.34998626667073579"/>
      </top>
      <bottom/>
      <diagonal/>
    </border>
    <border>
      <left style="thin">
        <color theme="1" tint="0.499984740745262"/>
      </left>
      <right style="thin">
        <color theme="1" tint="0.34998626667073579"/>
      </right>
      <top style="thin">
        <color theme="1" tint="0.34998626667073579"/>
      </top>
      <bottom/>
      <diagonal/>
    </border>
    <border>
      <left style="thin">
        <color auto="1"/>
      </left>
      <right style="thin">
        <color theme="1" tint="0.499984740745262"/>
      </right>
      <top style="thin">
        <color theme="0" tint="-0.24994659260841701"/>
      </top>
      <bottom/>
      <diagonal/>
    </border>
  </borders>
  <cellStyleXfs count="76">
    <xf numFmtId="0" fontId="0" fillId="0" borderId="0"/>
    <xf numFmtId="43" fontId="15" fillId="0" borderId="0" applyFont="0" applyFill="0" applyBorder="0" applyAlignment="0" applyProtection="0"/>
    <xf numFmtId="44" fontId="15" fillId="0" borderId="0" applyFont="0" applyFill="0" applyBorder="0" applyAlignment="0" applyProtection="0"/>
    <xf numFmtId="0" fontId="15" fillId="0" borderId="0"/>
    <xf numFmtId="44" fontId="15" fillId="0" borderId="0" applyFont="0" applyFill="0" applyBorder="0" applyAlignment="0" applyProtection="0"/>
    <xf numFmtId="9" fontId="15" fillId="0" borderId="0" applyFont="0" applyFill="0" applyBorder="0" applyAlignment="0" applyProtection="0"/>
    <xf numFmtId="0" fontId="15" fillId="23" borderId="0" applyNumberFormat="0" applyBorder="0" applyAlignment="0" applyProtection="0"/>
    <xf numFmtId="0" fontId="15" fillId="0" borderId="0"/>
    <xf numFmtId="0" fontId="15" fillId="25" borderId="0" applyNumberFormat="0" applyBorder="0" applyAlignment="0" applyProtection="0"/>
    <xf numFmtId="0" fontId="15" fillId="23" borderId="0" applyNumberFormat="0" applyBorder="0" applyAlignment="0" applyProtection="0"/>
    <xf numFmtId="0" fontId="15" fillId="25" borderId="0" applyNumberFormat="0" applyBorder="0" applyAlignment="0" applyProtection="0"/>
    <xf numFmtId="0" fontId="15" fillId="24" borderId="0" applyNumberFormat="0" applyBorder="0" applyAlignment="0" applyProtection="0"/>
    <xf numFmtId="0" fontId="6" fillId="27"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9" fontId="15" fillId="0" borderId="0" applyFont="0" applyFill="0" applyBorder="0" applyAlignment="0" applyProtection="0"/>
    <xf numFmtId="0" fontId="15" fillId="26"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9" fontId="36" fillId="0" borderId="0" applyFont="0" applyFill="0" applyBorder="0" applyAlignment="0" applyProtection="0"/>
    <xf numFmtId="0" fontId="15" fillId="26"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35" fillId="0" borderId="0"/>
    <xf numFmtId="0" fontId="35" fillId="0" borderId="0"/>
    <xf numFmtId="164" fontId="1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5" fillId="0" borderId="0" applyFont="0" applyFill="0" applyBorder="0" applyAlignment="0" applyProtection="0"/>
    <xf numFmtId="44" fontId="3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6" fillId="0" borderId="0"/>
    <xf numFmtId="0" fontId="36" fillId="0" borderId="0"/>
    <xf numFmtId="0" fontId="36" fillId="0" borderId="0"/>
    <xf numFmtId="0" fontId="36" fillId="0" borderId="0"/>
    <xf numFmtId="0" fontId="35" fillId="0" borderId="0"/>
    <xf numFmtId="0" fontId="35" fillId="0" borderId="0"/>
    <xf numFmtId="0" fontId="36" fillId="0" borderId="0"/>
    <xf numFmtId="0" fontId="35" fillId="0" borderId="0"/>
    <xf numFmtId="0" fontId="35" fillId="0" borderId="0"/>
    <xf numFmtId="0" fontId="36" fillId="0" borderId="0"/>
    <xf numFmtId="0" fontId="15" fillId="0" borderId="0"/>
    <xf numFmtId="0" fontId="15" fillId="0" borderId="0"/>
    <xf numFmtId="0" fontId="15" fillId="0" borderId="0"/>
    <xf numFmtId="0" fontId="36"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6" fillId="0" borderId="0"/>
    <xf numFmtId="9" fontId="15" fillId="0" borderId="0" applyFont="0" applyFill="0" applyBorder="0" applyAlignment="0" applyProtection="0"/>
    <xf numFmtId="0" fontId="3" fillId="0" borderId="0"/>
    <xf numFmtId="9" fontId="3" fillId="0" borderId="0" applyFont="0" applyFill="0" applyBorder="0" applyAlignment="0" applyProtection="0"/>
    <xf numFmtId="44" fontId="3" fillId="0" borderId="0" applyFont="0" applyFill="0" applyBorder="0" applyAlignment="0" applyProtection="0"/>
    <xf numFmtId="171" fontId="36" fillId="0" borderId="0" applyFont="0" applyFill="0" applyBorder="0" applyAlignment="0" applyProtection="0"/>
  </cellStyleXfs>
  <cellXfs count="1409">
    <xf numFmtId="0" fontId="0" fillId="0" borderId="0" xfId="0"/>
    <xf numFmtId="0" fontId="0" fillId="0" borderId="0" xfId="0" applyAlignment="1">
      <alignment vertical="top"/>
    </xf>
    <xf numFmtId="0" fontId="5" fillId="3" borderId="14" xfId="0" applyFont="1" applyFill="1" applyBorder="1" applyAlignment="1">
      <alignment horizontal="center" vertical="top" wrapText="1"/>
    </xf>
    <xf numFmtId="0" fontId="5" fillId="3" borderId="0" xfId="0" applyFont="1" applyFill="1" applyAlignment="1">
      <alignment horizontal="center" vertical="top" wrapText="1"/>
    </xf>
    <xf numFmtId="0" fontId="14" fillId="0" borderId="0" xfId="0" applyFont="1" applyAlignment="1">
      <alignment vertical="top"/>
    </xf>
    <xf numFmtId="0" fontId="15" fillId="0" borderId="0" xfId="0" applyFont="1" applyAlignment="1">
      <alignment vertical="top"/>
    </xf>
    <xf numFmtId="0" fontId="16" fillId="0" borderId="0" xfId="0" applyFont="1" applyAlignment="1">
      <alignment vertical="top"/>
    </xf>
    <xf numFmtId="0" fontId="15" fillId="0" borderId="0" xfId="0" applyFont="1" applyAlignment="1">
      <alignment horizontal="center" vertical="top"/>
    </xf>
    <xf numFmtId="0" fontId="12" fillId="16" borderId="26" xfId="0" applyFont="1" applyFill="1" applyBorder="1" applyAlignment="1">
      <alignment horizontal="center"/>
    </xf>
    <xf numFmtId="0" fontId="12" fillId="16" borderId="17" xfId="0" applyFont="1" applyFill="1" applyBorder="1" applyAlignment="1">
      <alignment horizontal="center"/>
    </xf>
    <xf numFmtId="0" fontId="12" fillId="16" borderId="55" xfId="0" applyFont="1" applyFill="1" applyBorder="1" applyAlignment="1">
      <alignment horizontal="center"/>
    </xf>
    <xf numFmtId="37" fontId="0" fillId="0" borderId="33" xfId="0" applyNumberFormat="1" applyBorder="1"/>
    <xf numFmtId="37" fontId="0" fillId="0" borderId="34" xfId="0" applyNumberFormat="1" applyBorder="1"/>
    <xf numFmtId="9" fontId="0" fillId="0" borderId="35" xfId="5" applyFont="1" applyBorder="1"/>
    <xf numFmtId="165" fontId="0" fillId="0" borderId="33" xfId="1" applyNumberFormat="1" applyFont="1" applyBorder="1"/>
    <xf numFmtId="165" fontId="0" fillId="0" borderId="35" xfId="1" applyNumberFormat="1" applyFont="1" applyBorder="1"/>
    <xf numFmtId="37" fontId="0" fillId="0" borderId="0" xfId="0" applyNumberFormat="1"/>
    <xf numFmtId="9" fontId="0" fillId="0" borderId="0" xfId="5" applyFont="1" applyBorder="1"/>
    <xf numFmtId="165" fontId="0" fillId="0" borderId="0" xfId="1" applyNumberFormat="1" applyFont="1" applyBorder="1"/>
    <xf numFmtId="43" fontId="0" fillId="0" borderId="0" xfId="1" applyFont="1"/>
    <xf numFmtId="43" fontId="0" fillId="0" borderId="0" xfId="0" applyNumberFormat="1"/>
    <xf numFmtId="4" fontId="0" fillId="18" borderId="0" xfId="0" applyNumberFormat="1" applyFill="1"/>
    <xf numFmtId="43" fontId="0" fillId="18" borderId="0" xfId="0" applyNumberFormat="1" applyFill="1"/>
    <xf numFmtId="0" fontId="12" fillId="19" borderId="6" xfId="0" applyFont="1" applyFill="1" applyBorder="1"/>
    <xf numFmtId="0" fontId="0" fillId="19" borderId="7" xfId="0" applyFill="1" applyBorder="1"/>
    <xf numFmtId="0" fontId="12" fillId="19" borderId="16" xfId="0" applyFont="1" applyFill="1" applyBorder="1"/>
    <xf numFmtId="0" fontId="0" fillId="19" borderId="4" xfId="0" applyFill="1" applyBorder="1"/>
    <xf numFmtId="43" fontId="0" fillId="19" borderId="4" xfId="1" applyFont="1" applyFill="1" applyBorder="1"/>
    <xf numFmtId="0" fontId="12" fillId="20" borderId="81" xfId="0" applyFont="1" applyFill="1" applyBorder="1"/>
    <xf numFmtId="0" fontId="0" fillId="20" borderId="82" xfId="0" applyFill="1" applyBorder="1"/>
    <xf numFmtId="43" fontId="0" fillId="20" borderId="82" xfId="1" applyFont="1" applyFill="1" applyBorder="1"/>
    <xf numFmtId="0" fontId="0" fillId="0" borderId="0" xfId="0" applyAlignment="1">
      <alignment horizontal="right"/>
    </xf>
    <xf numFmtId="0" fontId="0" fillId="20" borderId="81" xfId="0" applyFill="1" applyBorder="1"/>
    <xf numFmtId="0" fontId="12" fillId="21" borderId="85" xfId="0" applyFont="1" applyFill="1" applyBorder="1"/>
    <xf numFmtId="0" fontId="0" fillId="21" borderId="9" xfId="0" applyFill="1" applyBorder="1"/>
    <xf numFmtId="43" fontId="0" fillId="0" borderId="33" xfId="0" applyNumberFormat="1" applyBorder="1"/>
    <xf numFmtId="165" fontId="0" fillId="0" borderId="34" xfId="0" applyNumberFormat="1" applyBorder="1"/>
    <xf numFmtId="165" fontId="0" fillId="0" borderId="0" xfId="0" applyNumberFormat="1"/>
    <xf numFmtId="0" fontId="34" fillId="18" borderId="4" xfId="0" applyFont="1" applyFill="1" applyBorder="1" applyAlignment="1">
      <alignment wrapText="1"/>
    </xf>
    <xf numFmtId="0" fontId="34" fillId="18" borderId="4" xfId="0" applyFont="1" applyFill="1" applyBorder="1"/>
    <xf numFmtId="0" fontId="0" fillId="19" borderId="27" xfId="0" applyFill="1" applyBorder="1"/>
    <xf numFmtId="43" fontId="0" fillId="19" borderId="24" xfId="1" applyFont="1" applyFill="1" applyBorder="1"/>
    <xf numFmtId="43" fontId="0" fillId="20" borderId="86" xfId="1" applyFont="1" applyFill="1" applyBorder="1"/>
    <xf numFmtId="43" fontId="0" fillId="21" borderId="28" xfId="0" applyNumberFormat="1" applyFill="1" applyBorder="1"/>
    <xf numFmtId="165" fontId="34" fillId="18" borderId="4" xfId="1" applyNumberFormat="1" applyFont="1" applyFill="1" applyBorder="1"/>
    <xf numFmtId="165" fontId="0" fillId="0" borderId="0" xfId="1" applyNumberFormat="1" applyFont="1"/>
    <xf numFmtId="0" fontId="0" fillId="0" borderId="0" xfId="0" applyAlignment="1" applyProtection="1">
      <alignment vertical="top"/>
      <protection locked="0"/>
    </xf>
    <xf numFmtId="0" fontId="41" fillId="2" borderId="8" xfId="0" applyFont="1" applyFill="1" applyBorder="1" applyAlignment="1">
      <alignment horizontal="centerContinuous" vertical="center"/>
    </xf>
    <xf numFmtId="0" fontId="42" fillId="2" borderId="9" xfId="0" applyFont="1" applyFill="1" applyBorder="1" applyAlignment="1">
      <alignment horizontal="centerContinuous"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top"/>
    </xf>
    <xf numFmtId="0" fontId="5" fillId="3" borderId="15" xfId="0" applyFont="1" applyFill="1" applyBorder="1" applyAlignment="1">
      <alignment horizontal="center" vertical="top" wrapText="1"/>
    </xf>
    <xf numFmtId="0" fontId="5" fillId="3" borderId="3" xfId="0" applyFont="1" applyFill="1" applyBorder="1" applyAlignment="1">
      <alignment horizontal="center" vertical="top" wrapText="1"/>
    </xf>
    <xf numFmtId="0" fontId="5" fillId="3" borderId="23" xfId="0" applyFont="1" applyFill="1" applyBorder="1" applyAlignment="1">
      <alignment horizontal="center" vertical="top" wrapText="1"/>
    </xf>
    <xf numFmtId="0" fontId="18" fillId="0" borderId="0" xfId="0" applyFont="1" applyAlignment="1" applyProtection="1">
      <alignment horizontal="left" vertical="top"/>
      <protection locked="0"/>
    </xf>
    <xf numFmtId="0" fontId="16" fillId="0" borderId="0" xfId="0" applyFont="1" applyAlignment="1" applyProtection="1">
      <alignment vertical="top"/>
      <protection locked="0"/>
    </xf>
    <xf numFmtId="0" fontId="16" fillId="0" borderId="0" xfId="0" applyFont="1" applyAlignment="1" applyProtection="1">
      <alignment horizontal="left" vertical="center" wrapText="1"/>
      <protection locked="0"/>
    </xf>
    <xf numFmtId="166" fontId="34" fillId="0" borderId="112" xfId="4" applyNumberFormat="1" applyFont="1" applyFill="1" applyBorder="1" applyAlignment="1" applyProtection="1">
      <alignment horizontal="center" vertical="center" wrapText="1"/>
      <protection locked="0"/>
    </xf>
    <xf numFmtId="0" fontId="16" fillId="0" borderId="14" xfId="0" applyFont="1" applyBorder="1" applyAlignment="1" applyProtection="1">
      <alignment horizontal="center" vertical="center"/>
      <protection locked="0"/>
    </xf>
    <xf numFmtId="0" fontId="16" fillId="0" borderId="42" xfId="0" applyFont="1" applyBorder="1" applyAlignment="1" applyProtection="1">
      <alignment vertical="top" wrapText="1"/>
      <protection locked="0"/>
    </xf>
    <xf numFmtId="0" fontId="16" fillId="0" borderId="59" xfId="0" applyFont="1" applyBorder="1" applyAlignment="1" applyProtection="1">
      <alignment vertical="top" wrapText="1"/>
      <protection locked="0"/>
    </xf>
    <xf numFmtId="0" fontId="16" fillId="0" borderId="0" xfId="0" applyFont="1" applyAlignment="1" applyProtection="1">
      <alignment vertical="top" wrapText="1"/>
      <protection locked="0"/>
    </xf>
    <xf numFmtId="9" fontId="16" fillId="0" borderId="0" xfId="0" applyNumberFormat="1" applyFont="1" applyAlignment="1" applyProtection="1">
      <alignment horizontal="center" vertical="top"/>
      <protection locked="0"/>
    </xf>
    <xf numFmtId="9" fontId="16" fillId="0" borderId="59" xfId="0" applyNumberFormat="1" applyFont="1" applyBorder="1" applyAlignment="1" applyProtection="1">
      <alignment horizontal="center" vertical="top"/>
      <protection locked="0"/>
    </xf>
    <xf numFmtId="0" fontId="51" fillId="12" borderId="40" xfId="0" applyFont="1" applyFill="1" applyBorder="1" applyAlignment="1" applyProtection="1">
      <alignment vertical="top" wrapText="1"/>
      <protection locked="0"/>
    </xf>
    <xf numFmtId="0" fontId="16" fillId="9" borderId="105" xfId="0" applyFont="1" applyFill="1" applyBorder="1" applyAlignment="1">
      <alignment horizontal="center" vertical="center" wrapText="1"/>
    </xf>
    <xf numFmtId="0" fontId="16" fillId="9" borderId="106" xfId="0" applyFont="1" applyFill="1" applyBorder="1" applyAlignment="1">
      <alignment horizontal="left" vertical="center" wrapText="1"/>
    </xf>
    <xf numFmtId="0" fontId="16" fillId="9" borderId="105" xfId="0" applyFont="1" applyFill="1" applyBorder="1" applyAlignment="1">
      <alignment horizontal="left" vertical="center" wrapText="1"/>
    </xf>
    <xf numFmtId="0" fontId="16" fillId="9" borderId="104" xfId="0" applyFont="1" applyFill="1" applyBorder="1" applyAlignment="1">
      <alignment horizontal="center" vertical="center" wrapText="1"/>
    </xf>
    <xf numFmtId="9" fontId="16" fillId="9" borderId="105" xfId="0" applyNumberFormat="1" applyFont="1" applyFill="1" applyBorder="1" applyAlignment="1">
      <alignment horizontal="center" vertical="center" wrapText="1"/>
    </xf>
    <xf numFmtId="167" fontId="12" fillId="9" borderId="119" xfId="0" applyNumberFormat="1" applyFont="1" applyFill="1" applyBorder="1" applyAlignment="1">
      <alignment horizontal="center" vertical="center" wrapText="1"/>
    </xf>
    <xf numFmtId="0" fontId="21" fillId="3" borderId="36" xfId="12" applyFont="1" applyFill="1" applyBorder="1" applyAlignment="1" applyProtection="1">
      <alignment horizontal="center" vertical="top" wrapText="1"/>
    </xf>
    <xf numFmtId="0" fontId="21" fillId="3" borderId="37" xfId="12" applyFont="1" applyFill="1" applyBorder="1" applyAlignment="1" applyProtection="1">
      <alignment horizontal="center" vertical="top" wrapText="1"/>
    </xf>
    <xf numFmtId="0" fontId="5" fillId="3" borderId="111" xfId="12" applyFont="1" applyFill="1" applyBorder="1" applyAlignment="1" applyProtection="1">
      <alignment horizontal="center" vertical="center" wrapText="1"/>
    </xf>
    <xf numFmtId="0" fontId="23" fillId="5" borderId="17" xfId="6" applyFont="1" applyFill="1" applyBorder="1" applyAlignment="1" applyProtection="1">
      <alignment vertical="top" wrapText="1"/>
    </xf>
    <xf numFmtId="167" fontId="5" fillId="5" borderId="115" xfId="6" applyNumberFormat="1" applyFont="1" applyFill="1" applyBorder="1" applyAlignment="1" applyProtection="1">
      <alignment horizontal="center" vertical="center" wrapText="1"/>
    </xf>
    <xf numFmtId="0" fontId="5" fillId="5" borderId="17" xfId="6" applyFont="1" applyFill="1" applyBorder="1" applyAlignment="1" applyProtection="1">
      <alignment horizontal="center" vertical="center" wrapText="1"/>
    </xf>
    <xf numFmtId="0" fontId="5" fillId="5" borderId="55" xfId="6" applyFont="1" applyFill="1" applyBorder="1" applyAlignment="1" applyProtection="1">
      <alignment horizontal="center" vertical="center" wrapText="1"/>
    </xf>
    <xf numFmtId="0" fontId="5" fillId="5" borderId="26" xfId="6" applyFont="1" applyFill="1" applyBorder="1" applyAlignment="1" applyProtection="1">
      <alignment horizontal="center" vertical="center" wrapText="1"/>
    </xf>
    <xf numFmtId="0" fontId="5" fillId="5" borderId="77" xfId="6" applyFont="1" applyFill="1" applyBorder="1" applyAlignment="1" applyProtection="1">
      <alignment horizontal="center" vertical="center" wrapText="1"/>
    </xf>
    <xf numFmtId="167" fontId="5" fillId="5" borderId="55" xfId="6" applyNumberFormat="1" applyFont="1" applyFill="1" applyBorder="1" applyAlignment="1" applyProtection="1">
      <alignment horizontal="center" vertical="center" wrapText="1"/>
    </xf>
    <xf numFmtId="49" fontId="16" fillId="9" borderId="106" xfId="0" applyNumberFormat="1" applyFont="1" applyFill="1" applyBorder="1" applyAlignment="1">
      <alignment horizontal="left" vertical="center" wrapText="1"/>
    </xf>
    <xf numFmtId="167" fontId="5" fillId="31" borderId="68" xfId="12" applyNumberFormat="1" applyFont="1" applyFill="1" applyBorder="1" applyAlignment="1" applyProtection="1">
      <alignment horizontal="center" vertical="center" wrapText="1"/>
    </xf>
    <xf numFmtId="0" fontId="22" fillId="5" borderId="14" xfId="6" applyFont="1" applyFill="1" applyBorder="1" applyAlignment="1" applyProtection="1">
      <alignment vertical="top"/>
    </xf>
    <xf numFmtId="0" fontId="22" fillId="5" borderId="0" xfId="6" applyFont="1" applyFill="1" applyBorder="1" applyAlignment="1" applyProtection="1">
      <alignment vertical="top"/>
    </xf>
    <xf numFmtId="0" fontId="21" fillId="5" borderId="0" xfId="6" applyFont="1" applyFill="1" applyBorder="1" applyAlignment="1" applyProtection="1">
      <alignment vertical="top"/>
    </xf>
    <xf numFmtId="0" fontId="21" fillId="5" borderId="59" xfId="6" applyFont="1" applyFill="1" applyBorder="1" applyAlignment="1" applyProtection="1">
      <alignment vertical="top"/>
    </xf>
    <xf numFmtId="167" fontId="5" fillId="31" borderId="108" xfId="12" applyNumberFormat="1" applyFont="1" applyFill="1" applyBorder="1" applyAlignment="1" applyProtection="1">
      <alignment horizontal="center" vertical="center" wrapText="1"/>
    </xf>
    <xf numFmtId="0" fontId="50" fillId="31" borderId="0" xfId="12" applyFont="1" applyFill="1" applyBorder="1" applyAlignment="1" applyProtection="1">
      <alignment horizontal="center" vertical="center"/>
    </xf>
    <xf numFmtId="0" fontId="50" fillId="31" borderId="56" xfId="12" applyFont="1" applyFill="1" applyBorder="1" applyAlignment="1" applyProtection="1">
      <alignment horizontal="center" vertical="center"/>
    </xf>
    <xf numFmtId="0" fontId="50" fillId="31" borderId="14" xfId="12" applyFont="1" applyFill="1" applyBorder="1" applyAlignment="1" applyProtection="1">
      <alignment horizontal="center" vertical="center"/>
    </xf>
    <xf numFmtId="0" fontId="50" fillId="31" borderId="46" xfId="12" applyFont="1" applyFill="1" applyBorder="1" applyAlignment="1" applyProtection="1">
      <alignment horizontal="center" vertical="center"/>
    </xf>
    <xf numFmtId="0" fontId="3" fillId="0" borderId="0" xfId="72"/>
    <xf numFmtId="0" fontId="50" fillId="3" borderId="133" xfId="72" applyFont="1" applyFill="1" applyBorder="1" applyAlignment="1">
      <alignment horizontal="center"/>
    </xf>
    <xf numFmtId="0" fontId="55" fillId="0" borderId="0" xfId="72" applyFont="1"/>
    <xf numFmtId="0" fontId="3" fillId="33" borderId="6" xfId="72" applyFill="1" applyBorder="1"/>
    <xf numFmtId="0" fontId="56" fillId="33" borderId="27" xfId="72" applyFont="1" applyFill="1" applyBorder="1" applyAlignment="1">
      <alignment vertical="center"/>
    </xf>
    <xf numFmtId="0" fontId="56" fillId="0" borderId="0" xfId="72" applyFont="1" applyAlignment="1">
      <alignment vertical="center"/>
    </xf>
    <xf numFmtId="0" fontId="3" fillId="0" borderId="14" xfId="72" applyBorder="1"/>
    <xf numFmtId="0" fontId="3" fillId="0" borderId="56" xfId="72" applyBorder="1"/>
    <xf numFmtId="0" fontId="3" fillId="0" borderId="33" xfId="72" applyBorder="1"/>
    <xf numFmtId="0" fontId="3" fillId="0" borderId="34" xfId="72" applyBorder="1"/>
    <xf numFmtId="0" fontId="3" fillId="0" borderId="35" xfId="72" applyBorder="1"/>
    <xf numFmtId="0" fontId="58" fillId="0" borderId="0" xfId="72" applyFont="1" applyAlignment="1">
      <alignment vertical="center"/>
    </xf>
    <xf numFmtId="0" fontId="5" fillId="3" borderId="4" xfId="72" applyFont="1" applyFill="1" applyBorder="1" applyAlignment="1">
      <alignment horizontal="center" vertical="top"/>
    </xf>
    <xf numFmtId="0" fontId="5" fillId="3" borderId="4" xfId="72" applyFont="1" applyFill="1" applyBorder="1" applyAlignment="1">
      <alignment horizontal="center" vertical="top" wrapText="1"/>
    </xf>
    <xf numFmtId="0" fontId="3" fillId="30" borderId="4" xfId="72" applyFill="1" applyBorder="1"/>
    <xf numFmtId="0" fontId="3" fillId="0" borderId="4" xfId="72" applyBorder="1"/>
    <xf numFmtId="9" fontId="16" fillId="0" borderId="59" xfId="5" applyFont="1" applyFill="1" applyBorder="1" applyAlignment="1" applyProtection="1">
      <alignment horizontal="center" vertical="center"/>
    </xf>
    <xf numFmtId="9" fontId="16" fillId="0" borderId="0" xfId="5" applyFont="1" applyFill="1" applyBorder="1" applyAlignment="1" applyProtection="1">
      <alignment horizontal="center" vertical="center"/>
    </xf>
    <xf numFmtId="49" fontId="16" fillId="0" borderId="0" xfId="0" applyNumberFormat="1" applyFont="1" applyAlignment="1" applyProtection="1">
      <alignment horizontal="left" vertical="center" wrapText="1"/>
      <protection locked="0"/>
    </xf>
    <xf numFmtId="49" fontId="16" fillId="9" borderId="105" xfId="0" applyNumberFormat="1" applyFont="1" applyFill="1" applyBorder="1" applyAlignment="1" applyProtection="1">
      <alignment horizontal="left" vertical="center" wrapText="1"/>
      <protection locked="0"/>
    </xf>
    <xf numFmtId="49" fontId="16" fillId="0" borderId="42" xfId="0" applyNumberFormat="1" applyFont="1" applyBorder="1" applyAlignment="1" applyProtection="1">
      <alignment horizontal="left" vertical="center" wrapText="1"/>
      <protection locked="0"/>
    </xf>
    <xf numFmtId="49" fontId="16" fillId="0" borderId="43" xfId="0" applyNumberFormat="1" applyFont="1" applyBorder="1" applyAlignment="1" applyProtection="1">
      <alignment horizontal="left" vertical="center" wrapText="1"/>
      <protection locked="0"/>
    </xf>
    <xf numFmtId="49" fontId="50" fillId="31" borderId="0" xfId="12" applyNumberFormat="1" applyFont="1" applyFill="1" applyBorder="1" applyAlignment="1" applyProtection="1">
      <alignment horizontal="left" vertical="center"/>
    </xf>
    <xf numFmtId="49" fontId="27" fillId="13" borderId="71" xfId="0" applyNumberFormat="1" applyFont="1" applyFill="1" applyBorder="1" applyAlignment="1">
      <alignment horizontal="left" vertical="center" wrapText="1"/>
    </xf>
    <xf numFmtId="0" fontId="27" fillId="13" borderId="78" xfId="0" applyFont="1" applyFill="1" applyBorder="1" applyAlignment="1">
      <alignment horizontal="center" vertical="center" wrapText="1"/>
    </xf>
    <xf numFmtId="0" fontId="30" fillId="13" borderId="33" xfId="0" applyFont="1" applyFill="1" applyBorder="1" applyAlignment="1">
      <alignment horizontal="center" vertical="center" wrapText="1"/>
    </xf>
    <xf numFmtId="0" fontId="31" fillId="13" borderId="79" xfId="0" applyFont="1" applyFill="1" applyBorder="1" applyAlignment="1">
      <alignment horizontal="center" vertical="center" wrapText="1"/>
    </xf>
    <xf numFmtId="9" fontId="32" fillId="13" borderId="73" xfId="0" applyNumberFormat="1" applyFont="1" applyFill="1" applyBorder="1" applyAlignment="1">
      <alignment vertical="top" wrapText="1"/>
    </xf>
    <xf numFmtId="49" fontId="16" fillId="9" borderId="105" xfId="0" applyNumberFormat="1" applyFont="1" applyFill="1" applyBorder="1" applyAlignment="1">
      <alignment horizontal="left" vertical="center" wrapText="1"/>
    </xf>
    <xf numFmtId="0" fontId="61" fillId="3" borderId="111" xfId="12" applyFont="1" applyFill="1" applyBorder="1" applyAlignment="1" applyProtection="1">
      <alignment horizontal="center" vertical="center" wrapText="1"/>
    </xf>
    <xf numFmtId="165" fontId="5" fillId="3" borderId="113" xfId="12" applyNumberFormat="1" applyFont="1" applyFill="1" applyBorder="1" applyAlignment="1" applyProtection="1">
      <alignment horizontal="center" vertical="center" wrapText="1"/>
    </xf>
    <xf numFmtId="167" fontId="49" fillId="9" borderId="118" xfId="0" applyNumberFormat="1" applyFont="1" applyFill="1" applyBorder="1" applyAlignment="1">
      <alignment horizontal="center" vertical="center" wrapText="1"/>
    </xf>
    <xf numFmtId="0" fontId="0" fillId="0" borderId="0" xfId="0" applyAlignment="1">
      <alignment vertical="center"/>
    </xf>
    <xf numFmtId="49" fontId="3" fillId="0" borderId="4" xfId="72" applyNumberFormat="1" applyBorder="1"/>
    <xf numFmtId="0" fontId="16" fillId="0" borderId="46" xfId="0" applyFont="1" applyBorder="1" applyAlignment="1" applyProtection="1">
      <alignment horizontal="left" vertical="center" wrapText="1"/>
      <protection locked="0"/>
    </xf>
    <xf numFmtId="0" fontId="16" fillId="0" borderId="136" xfId="0" applyFont="1" applyBorder="1" applyAlignment="1" applyProtection="1">
      <alignment horizontal="left" vertical="center" wrapText="1"/>
      <protection locked="0"/>
    </xf>
    <xf numFmtId="49" fontId="16" fillId="0" borderId="136" xfId="0" applyNumberFormat="1" applyFont="1" applyBorder="1" applyAlignment="1" applyProtection="1">
      <alignment horizontal="left" vertical="center"/>
      <protection locked="0"/>
    </xf>
    <xf numFmtId="0" fontId="48" fillId="22" borderId="40" xfId="12" applyFont="1" applyFill="1" applyBorder="1" applyAlignment="1" applyProtection="1">
      <alignment horizontal="center" vertical="center" wrapText="1"/>
      <protection locked="0"/>
    </xf>
    <xf numFmtId="0" fontId="0" fillId="22" borderId="40" xfId="0" applyFill="1" applyBorder="1" applyAlignment="1" applyProtection="1">
      <alignment horizontal="center" vertical="center" wrapText="1"/>
      <protection locked="0"/>
    </xf>
    <xf numFmtId="0" fontId="3" fillId="30" borderId="4" xfId="72" applyFill="1" applyBorder="1" applyProtection="1">
      <protection locked="0"/>
    </xf>
    <xf numFmtId="0" fontId="3" fillId="0" borderId="4" xfId="72" applyBorder="1" applyProtection="1">
      <protection locked="0"/>
    </xf>
    <xf numFmtId="49" fontId="3" fillId="0" borderId="4" xfId="72" applyNumberFormat="1" applyBorder="1" applyProtection="1">
      <protection locked="0"/>
    </xf>
    <xf numFmtId="0" fontId="3" fillId="0" borderId="4" xfId="72" applyBorder="1" applyAlignment="1" applyProtection="1">
      <alignment horizontal="center" vertical="center"/>
      <protection locked="0"/>
    </xf>
    <xf numFmtId="167" fontId="5" fillId="5" borderId="17" xfId="6" applyNumberFormat="1" applyFont="1" applyFill="1" applyBorder="1" applyAlignment="1" applyProtection="1">
      <alignment horizontal="center" vertical="center" wrapText="1"/>
    </xf>
    <xf numFmtId="167" fontId="5" fillId="31" borderId="0" xfId="12" applyNumberFormat="1" applyFont="1" applyFill="1" applyBorder="1" applyAlignment="1" applyProtection="1">
      <alignment horizontal="center" vertical="center" wrapText="1"/>
    </xf>
    <xf numFmtId="167" fontId="5" fillId="13" borderId="34" xfId="6" applyNumberFormat="1" applyFont="1" applyFill="1" applyBorder="1" applyAlignment="1" applyProtection="1">
      <alignment horizontal="center" vertical="center" wrapText="1"/>
    </xf>
    <xf numFmtId="0" fontId="5" fillId="3" borderId="141" xfId="12" applyFont="1" applyFill="1" applyBorder="1" applyAlignment="1" applyProtection="1">
      <alignment horizontal="center" vertical="center" wrapText="1"/>
    </xf>
    <xf numFmtId="167" fontId="49" fillId="9" borderId="105" xfId="0" applyNumberFormat="1" applyFont="1" applyFill="1" applyBorder="1" applyAlignment="1">
      <alignment horizontal="center" vertical="center" wrapText="1"/>
    </xf>
    <xf numFmtId="0" fontId="0" fillId="22" borderId="39" xfId="0" applyFill="1" applyBorder="1" applyAlignment="1">
      <alignment horizontal="center" vertical="center" wrapText="1"/>
    </xf>
    <xf numFmtId="9" fontId="16" fillId="12" borderId="40" xfId="5" applyFont="1" applyFill="1" applyBorder="1" applyAlignment="1" applyProtection="1">
      <alignment horizontal="center" vertical="center"/>
    </xf>
    <xf numFmtId="9" fontId="16" fillId="9" borderId="105" xfId="0" applyNumberFormat="1" applyFont="1" applyFill="1" applyBorder="1" applyAlignment="1" applyProtection="1">
      <alignment horizontal="center" vertical="center" wrapText="1"/>
      <protection locked="0"/>
    </xf>
    <xf numFmtId="0" fontId="21" fillId="3" borderId="138" xfId="12" applyFont="1" applyFill="1" applyBorder="1" applyAlignment="1" applyProtection="1">
      <alignment horizontal="centerContinuous" vertical="center" wrapText="1"/>
    </xf>
    <xf numFmtId="0" fontId="21" fillId="3" borderId="139" xfId="12" applyFont="1" applyFill="1" applyBorder="1" applyAlignment="1" applyProtection="1">
      <alignment horizontal="centerContinuous" vertical="center" wrapText="1"/>
    </xf>
    <xf numFmtId="0" fontId="19" fillId="10" borderId="6" xfId="0" applyFont="1" applyFill="1" applyBorder="1" applyAlignment="1">
      <alignment horizontal="centerContinuous" vertical="center"/>
    </xf>
    <xf numFmtId="0" fontId="19" fillId="10" borderId="7" xfId="0" applyFont="1" applyFill="1" applyBorder="1" applyAlignment="1">
      <alignment horizontal="centerContinuous" vertical="center"/>
    </xf>
    <xf numFmtId="0" fontId="20" fillId="10" borderId="7" xfId="0" applyFont="1" applyFill="1" applyBorder="1" applyAlignment="1">
      <alignment horizontal="centerContinuous" vertical="center"/>
    </xf>
    <xf numFmtId="0" fontId="19" fillId="10" borderId="27" xfId="0" applyFont="1" applyFill="1" applyBorder="1" applyAlignment="1">
      <alignment horizontal="centerContinuous" vertical="center"/>
    </xf>
    <xf numFmtId="0" fontId="19" fillId="10" borderId="6" xfId="0" applyFont="1" applyFill="1" applyBorder="1" applyAlignment="1">
      <alignment horizontal="centerContinuous" vertical="center" wrapText="1"/>
    </xf>
    <xf numFmtId="0" fontId="19" fillId="10" borderId="7" xfId="0" applyFont="1" applyFill="1" applyBorder="1" applyAlignment="1">
      <alignment horizontal="centerContinuous" vertical="center" wrapText="1"/>
    </xf>
    <xf numFmtId="0" fontId="19" fillId="10" borderId="27" xfId="0" applyFont="1" applyFill="1" applyBorder="1" applyAlignment="1">
      <alignment horizontal="centerContinuous" vertical="center" wrapText="1"/>
    </xf>
    <xf numFmtId="0" fontId="51" fillId="12" borderId="40" xfId="0" applyFont="1" applyFill="1" applyBorder="1" applyAlignment="1" applyProtection="1">
      <alignment vertical="center" wrapText="1"/>
      <protection locked="0"/>
    </xf>
    <xf numFmtId="0" fontId="54" fillId="0" borderId="0" xfId="72" applyFont="1" applyAlignment="1" applyProtection="1">
      <alignment horizontal="centerContinuous"/>
      <protection locked="0"/>
    </xf>
    <xf numFmtId="0" fontId="47" fillId="30" borderId="88" xfId="72" applyFont="1" applyFill="1" applyBorder="1" applyAlignment="1">
      <alignment horizontal="centerContinuous"/>
    </xf>
    <xf numFmtId="0" fontId="57" fillId="30" borderId="31" xfId="72" applyFont="1" applyFill="1" applyBorder="1" applyAlignment="1">
      <alignment horizontal="centerContinuous"/>
    </xf>
    <xf numFmtId="0" fontId="5" fillId="3" borderId="146" xfId="0" applyFont="1" applyFill="1" applyBorder="1" applyAlignment="1">
      <alignment horizontal="center" vertical="top" wrapText="1"/>
    </xf>
    <xf numFmtId="0" fontId="5" fillId="3" borderId="147" xfId="0" applyFont="1" applyFill="1" applyBorder="1" applyAlignment="1">
      <alignment horizontal="center" vertical="top" wrapText="1"/>
    </xf>
    <xf numFmtId="0" fontId="5" fillId="3" borderId="148" xfId="0" applyFont="1" applyFill="1" applyBorder="1" applyAlignment="1">
      <alignment horizontal="center" vertical="top" wrapText="1"/>
    </xf>
    <xf numFmtId="0" fontId="7" fillId="0" borderId="52" xfId="0" applyFont="1" applyBorder="1" applyAlignment="1">
      <alignment horizontal="centerContinuous" vertical="center" wrapText="1"/>
    </xf>
    <xf numFmtId="44" fontId="7" fillId="0" borderId="62" xfId="4" applyFont="1" applyFill="1" applyBorder="1" applyAlignment="1" applyProtection="1">
      <alignment vertical="center" wrapText="1"/>
      <protection locked="0"/>
    </xf>
    <xf numFmtId="5" fontId="7" fillId="0" borderId="63" xfId="1" applyNumberFormat="1"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39" xfId="0" applyFont="1" applyBorder="1" applyAlignment="1" applyProtection="1">
      <alignment horizontal="center" vertical="center" wrapText="1"/>
      <protection locked="0"/>
    </xf>
    <xf numFmtId="0" fontId="7" fillId="0" borderId="40" xfId="0" applyFont="1" applyBorder="1" applyAlignment="1">
      <alignment horizontal="centerContinuous" vertical="center" wrapText="1"/>
    </xf>
    <xf numFmtId="170" fontId="34" fillId="0" borderId="112" xfId="4" applyNumberFormat="1" applyFont="1" applyFill="1" applyBorder="1" applyAlignment="1" applyProtection="1">
      <alignment horizontal="center" vertical="center" wrapText="1"/>
      <protection locked="0"/>
    </xf>
    <xf numFmtId="0" fontId="16" fillId="0" borderId="0" xfId="52" applyFont="1" applyAlignment="1">
      <alignment vertical="top" wrapText="1"/>
    </xf>
    <xf numFmtId="0" fontId="45" fillId="9" borderId="110" xfId="0" applyFont="1" applyFill="1" applyBorder="1" applyAlignment="1">
      <alignment horizontal="center" vertical="center" wrapText="1"/>
    </xf>
    <xf numFmtId="0" fontId="45" fillId="9" borderId="109" xfId="0" applyFont="1" applyFill="1" applyBorder="1" applyAlignment="1">
      <alignment horizontal="center" vertical="center" wrapText="1"/>
    </xf>
    <xf numFmtId="49" fontId="44" fillId="0" borderId="51" xfId="0" applyNumberFormat="1" applyFont="1" applyBorder="1" applyAlignment="1" applyProtection="1">
      <alignment horizontal="left" vertical="center" wrapText="1"/>
      <protection locked="0"/>
    </xf>
    <xf numFmtId="49" fontId="44" fillId="0" borderId="59" xfId="0" applyNumberFormat="1" applyFont="1" applyBorder="1" applyAlignment="1" applyProtection="1">
      <alignment horizontal="left" vertical="center" wrapText="1"/>
      <protection locked="0"/>
    </xf>
    <xf numFmtId="49" fontId="44" fillId="0" borderId="0" xfId="0" applyNumberFormat="1" applyFont="1" applyAlignment="1" applyProtection="1">
      <alignment horizontal="left" vertical="center" wrapText="1"/>
      <protection locked="0"/>
    </xf>
    <xf numFmtId="3" fontId="16" fillId="0" borderId="56" xfId="0" applyNumberFormat="1" applyFont="1" applyBorder="1" applyAlignment="1" applyProtection="1">
      <alignment horizontal="center" vertical="center" wrapText="1"/>
      <protection locked="0"/>
    </xf>
    <xf numFmtId="3" fontId="16" fillId="9" borderId="107" xfId="0" applyNumberFormat="1" applyFont="1" applyFill="1" applyBorder="1" applyAlignment="1">
      <alignment horizontal="center" vertical="center" wrapText="1"/>
    </xf>
    <xf numFmtId="3" fontId="16" fillId="0" borderId="61" xfId="0" applyNumberFormat="1" applyFont="1" applyBorder="1" applyAlignment="1" applyProtection="1">
      <alignment horizontal="center" vertical="center" wrapText="1"/>
      <protection locked="0"/>
    </xf>
    <xf numFmtId="3" fontId="16" fillId="0" borderId="64" xfId="0" applyNumberFormat="1" applyFont="1" applyBorder="1" applyAlignment="1" applyProtection="1">
      <alignment horizontal="center" vertical="center" wrapText="1"/>
      <protection locked="0"/>
    </xf>
    <xf numFmtId="0" fontId="44" fillId="0" borderId="60" xfId="0" applyFont="1" applyBorder="1" applyAlignment="1" applyProtection="1">
      <alignment horizontal="left" vertical="center" wrapText="1"/>
      <protection locked="0"/>
    </xf>
    <xf numFmtId="0" fontId="44" fillId="0" borderId="46" xfId="0" applyFont="1" applyBorder="1" applyAlignment="1" applyProtection="1">
      <alignment horizontal="left" vertical="center" wrapText="1"/>
      <protection locked="0"/>
    </xf>
    <xf numFmtId="0" fontId="44" fillId="0" borderId="136" xfId="0" applyFont="1" applyBorder="1" applyAlignment="1" applyProtection="1">
      <alignment horizontal="left" vertical="center" wrapText="1"/>
      <protection locked="0"/>
    </xf>
    <xf numFmtId="49" fontId="44" fillId="0" borderId="43" xfId="0" applyNumberFormat="1" applyFont="1" applyBorder="1" applyAlignment="1" applyProtection="1">
      <alignment horizontal="left" vertical="center" wrapText="1"/>
      <protection locked="0"/>
    </xf>
    <xf numFmtId="0" fontId="44" fillId="0" borderId="48" xfId="0" applyFont="1" applyBorder="1" applyAlignment="1" applyProtection="1">
      <alignment vertical="center" wrapText="1"/>
      <protection locked="0"/>
    </xf>
    <xf numFmtId="0" fontId="44" fillId="0" borderId="59" xfId="0" applyFont="1" applyBorder="1" applyAlignment="1" applyProtection="1">
      <alignment vertical="center" wrapText="1"/>
      <protection locked="0"/>
    </xf>
    <xf numFmtId="3" fontId="34" fillId="0" borderId="60" xfId="4" applyNumberFormat="1" applyFont="1" applyFill="1" applyBorder="1" applyAlignment="1" applyProtection="1">
      <alignment horizontal="center" vertical="center" wrapText="1"/>
      <protection locked="0"/>
    </xf>
    <xf numFmtId="3" fontId="34" fillId="0" borderId="46" xfId="4" applyNumberFormat="1" applyFont="1" applyFill="1" applyBorder="1" applyAlignment="1" applyProtection="1">
      <alignment horizontal="center" vertical="center" wrapText="1"/>
      <protection locked="0"/>
    </xf>
    <xf numFmtId="3" fontId="34" fillId="0" borderId="136" xfId="4" applyNumberFormat="1" applyFont="1" applyFill="1" applyBorder="1" applyAlignment="1" applyProtection="1">
      <alignment horizontal="center" vertical="center" wrapText="1"/>
      <protection locked="0"/>
    </xf>
    <xf numFmtId="49" fontId="16" fillId="0" borderId="108" xfId="0" applyNumberFormat="1" applyFont="1" applyBorder="1" applyAlignment="1">
      <alignment horizontal="left" vertical="center" wrapText="1"/>
    </xf>
    <xf numFmtId="49" fontId="16" fillId="0" borderId="46" xfId="0" applyNumberFormat="1" applyFont="1" applyBorder="1" applyAlignment="1">
      <alignment horizontal="left" vertical="center" wrapText="1"/>
    </xf>
    <xf numFmtId="49" fontId="16" fillId="0" borderId="108" xfId="0" applyNumberFormat="1" applyFont="1" applyBorder="1" applyAlignment="1">
      <alignment horizontal="left" vertical="center"/>
    </xf>
    <xf numFmtId="0" fontId="17" fillId="0" borderId="0" xfId="0" applyFont="1" applyAlignment="1">
      <alignment horizontal="left" vertical="top"/>
    </xf>
    <xf numFmtId="0" fontId="44" fillId="9" borderId="105" xfId="0" applyFont="1" applyFill="1" applyBorder="1" applyAlignment="1">
      <alignment horizontal="left" vertical="center" wrapText="1"/>
    </xf>
    <xf numFmtId="0" fontId="44" fillId="0" borderId="60" xfId="52" applyFont="1" applyBorder="1" applyAlignment="1" applyProtection="1">
      <alignment vertical="top" wrapText="1"/>
      <protection locked="0"/>
    </xf>
    <xf numFmtId="0" fontId="44" fillId="0" borderId="46" xfId="52" applyFont="1" applyBorder="1" applyAlignment="1" applyProtection="1">
      <alignment vertical="top" wrapText="1"/>
      <protection locked="0"/>
    </xf>
    <xf numFmtId="0" fontId="44" fillId="0" borderId="136" xfId="52" applyFont="1" applyBorder="1" applyAlignment="1" applyProtection="1">
      <alignment vertical="top" wrapText="1"/>
      <protection locked="0"/>
    </xf>
    <xf numFmtId="165" fontId="5" fillId="3" borderId="111" xfId="12" applyNumberFormat="1" applyFont="1" applyFill="1" applyBorder="1" applyAlignment="1" applyProtection="1">
      <alignment horizontal="center" vertical="top" wrapText="1"/>
    </xf>
    <xf numFmtId="165" fontId="5" fillId="3" borderId="53" xfId="12" applyNumberFormat="1" applyFont="1" applyFill="1" applyBorder="1" applyAlignment="1" applyProtection="1">
      <alignment horizontal="center" vertical="top" wrapText="1"/>
    </xf>
    <xf numFmtId="0" fontId="34" fillId="0" borderId="152" xfId="0" applyFont="1" applyBorder="1" applyAlignment="1">
      <alignment horizontal="left" vertical="center" wrapText="1"/>
    </xf>
    <xf numFmtId="0" fontId="34" fillId="0" borderId="150" xfId="0" applyFont="1" applyBorder="1" applyAlignment="1">
      <alignment vertical="center" wrapText="1"/>
    </xf>
    <xf numFmtId="9" fontId="7" fillId="9" borderId="22" xfId="5" applyFont="1" applyFill="1" applyBorder="1" applyAlignment="1" applyProtection="1">
      <alignment vertical="center" wrapText="1"/>
    </xf>
    <xf numFmtId="0" fontId="34" fillId="0" borderId="152" xfId="0" applyFont="1" applyBorder="1" applyAlignment="1">
      <alignment vertical="center" wrapText="1"/>
    </xf>
    <xf numFmtId="0" fontId="34" fillId="0" borderId="0" xfId="0" applyFont="1" applyAlignment="1">
      <alignment vertical="center" wrapText="1"/>
    </xf>
    <xf numFmtId="0" fontId="7" fillId="7" borderId="4" xfId="0" applyFont="1" applyFill="1" applyBorder="1" applyAlignment="1" applyProtection="1">
      <alignment vertical="center" wrapText="1"/>
      <protection locked="0"/>
    </xf>
    <xf numFmtId="0" fontId="8" fillId="6" borderId="20" xfId="0" applyFont="1" applyFill="1" applyBorder="1" applyAlignment="1">
      <alignment vertical="center" wrapText="1"/>
    </xf>
    <xf numFmtId="0" fontId="8" fillId="6" borderId="2" xfId="0" applyFont="1" applyFill="1" applyBorder="1" applyAlignment="1">
      <alignment vertical="center" wrapText="1"/>
    </xf>
    <xf numFmtId="9" fontId="8" fillId="6" borderId="25" xfId="5" applyFont="1" applyFill="1" applyBorder="1" applyAlignment="1" applyProtection="1">
      <alignment vertical="center" wrapText="1"/>
    </xf>
    <xf numFmtId="3" fontId="8" fillId="6" borderId="20" xfId="0" applyNumberFormat="1" applyFont="1" applyFill="1" applyBorder="1" applyAlignment="1">
      <alignment vertical="center" wrapText="1"/>
    </xf>
    <xf numFmtId="0" fontId="13" fillId="6" borderId="2" xfId="0" applyFont="1" applyFill="1" applyBorder="1" applyAlignment="1">
      <alignment vertical="center" wrapText="1"/>
    </xf>
    <xf numFmtId="0" fontId="34" fillId="0" borderId="97" xfId="0" applyFont="1" applyBorder="1" applyAlignment="1" applyProtection="1">
      <alignment vertical="center" wrapText="1"/>
      <protection locked="0"/>
    </xf>
    <xf numFmtId="0" fontId="7" fillId="8" borderId="97" xfId="0" applyFont="1" applyFill="1" applyBorder="1" applyAlignment="1" applyProtection="1">
      <alignment vertical="center" wrapText="1"/>
      <protection locked="0"/>
    </xf>
    <xf numFmtId="9" fontId="7" fillId="9" borderId="100" xfId="5" applyFont="1" applyFill="1" applyBorder="1" applyAlignment="1" applyProtection="1">
      <alignment vertical="center" wrapText="1"/>
    </xf>
    <xf numFmtId="0" fontId="7" fillId="0" borderId="0" xfId="0" applyFont="1" applyAlignment="1">
      <alignment vertical="top"/>
    </xf>
    <xf numFmtId="0" fontId="7" fillId="0" borderId="0" xfId="0" applyFont="1" applyAlignment="1" applyProtection="1">
      <alignment vertical="top"/>
      <protection locked="0"/>
    </xf>
    <xf numFmtId="3" fontId="7" fillId="7" borderId="95" xfId="0" applyNumberFormat="1" applyFont="1" applyFill="1" applyBorder="1" applyAlignment="1" applyProtection="1">
      <alignment vertical="center" wrapText="1"/>
      <protection locked="0"/>
    </xf>
    <xf numFmtId="3" fontId="7" fillId="8" borderId="93" xfId="0" applyNumberFormat="1" applyFont="1" applyFill="1" applyBorder="1" applyAlignment="1" applyProtection="1">
      <alignment vertical="center" wrapText="1"/>
      <protection locked="0"/>
    </xf>
    <xf numFmtId="9" fontId="7" fillId="9" borderId="96" xfId="5" applyFont="1" applyFill="1" applyBorder="1" applyAlignment="1" applyProtection="1">
      <alignment vertical="center" wrapText="1"/>
    </xf>
    <xf numFmtId="9" fontId="8" fillId="9" borderId="92" xfId="5" applyFont="1" applyFill="1" applyBorder="1" applyAlignment="1" applyProtection="1">
      <alignment vertical="center" wrapText="1"/>
    </xf>
    <xf numFmtId="9" fontId="8" fillId="9" borderId="24" xfId="5" applyFont="1" applyFill="1" applyBorder="1" applyAlignment="1" applyProtection="1">
      <alignment vertical="center" wrapText="1"/>
    </xf>
    <xf numFmtId="3" fontId="8" fillId="0" borderId="16" xfId="0" applyNumberFormat="1" applyFont="1" applyBorder="1" applyAlignment="1">
      <alignment vertical="center" wrapText="1"/>
    </xf>
    <xf numFmtId="0" fontId="7" fillId="6" borderId="33" xfId="0" applyFont="1" applyFill="1" applyBorder="1" applyAlignment="1">
      <alignment vertical="center"/>
    </xf>
    <xf numFmtId="0" fontId="7" fillId="6" borderId="34" xfId="0" applyFont="1" applyFill="1" applyBorder="1" applyAlignment="1">
      <alignment vertical="center"/>
    </xf>
    <xf numFmtId="9" fontId="8" fillId="6" borderId="101" xfId="5" applyFont="1" applyFill="1" applyBorder="1" applyAlignment="1" applyProtection="1">
      <alignment vertical="center" wrapText="1"/>
    </xf>
    <xf numFmtId="0" fontId="7" fillId="0" borderId="0" xfId="0" applyFont="1" applyAlignment="1">
      <alignment vertical="center"/>
    </xf>
    <xf numFmtId="0" fontId="8" fillId="0" borderId="0" xfId="0" applyFont="1" applyAlignment="1">
      <alignment horizontal="left" vertical="center"/>
    </xf>
    <xf numFmtId="0" fontId="8" fillId="0" borderId="0" xfId="0" applyFont="1" applyAlignment="1">
      <alignment vertical="center"/>
    </xf>
    <xf numFmtId="9" fontId="8" fillId="0" borderId="0" xfId="5" applyFont="1" applyFill="1" applyBorder="1" applyAlignment="1">
      <alignment vertical="center"/>
    </xf>
    <xf numFmtId="9" fontId="8" fillId="0" borderId="0" xfId="0" applyNumberFormat="1" applyFont="1" applyAlignment="1" applyProtection="1">
      <alignment vertical="center"/>
      <protection locked="0"/>
    </xf>
    <xf numFmtId="0" fontId="50" fillId="5" borderId="20" xfId="0" applyFont="1" applyFill="1" applyBorder="1" applyAlignment="1">
      <alignment vertical="center"/>
    </xf>
    <xf numFmtId="0" fontId="32" fillId="5" borderId="2" xfId="0" applyFont="1" applyFill="1" applyBorder="1" applyAlignment="1">
      <alignment vertical="center"/>
    </xf>
    <xf numFmtId="0" fontId="32" fillId="5" borderId="151" xfId="0" applyFont="1" applyFill="1" applyBorder="1" applyAlignment="1">
      <alignment vertical="center"/>
    </xf>
    <xf numFmtId="0" fontId="32" fillId="5" borderId="25" xfId="0" applyFont="1" applyFill="1" applyBorder="1" applyAlignment="1">
      <alignment vertical="center"/>
    </xf>
    <xf numFmtId="0" fontId="47" fillId="0" borderId="0" xfId="0" applyFont="1" applyAlignment="1">
      <alignment vertical="center"/>
    </xf>
    <xf numFmtId="9" fontId="3" fillId="34" borderId="30" xfId="72" applyNumberFormat="1" applyFill="1" applyBorder="1" applyAlignment="1">
      <alignment horizontal="center" vertical="center"/>
    </xf>
    <xf numFmtId="0" fontId="3" fillId="0" borderId="12" xfId="72" applyBorder="1" applyAlignment="1">
      <alignment horizontal="center" vertical="center"/>
    </xf>
    <xf numFmtId="9" fontId="3" fillId="34" borderId="32" xfId="72" applyNumberFormat="1" applyFill="1" applyBorder="1" applyAlignment="1">
      <alignment horizontal="center" vertical="center"/>
    </xf>
    <xf numFmtId="37" fontId="0" fillId="23" borderId="4" xfId="0" applyNumberFormat="1" applyFill="1" applyBorder="1"/>
    <xf numFmtId="4" fontId="0" fillId="23" borderId="4" xfId="0" applyNumberFormat="1" applyFill="1" applyBorder="1"/>
    <xf numFmtId="0" fontId="0" fillId="23" borderId="4" xfId="0" applyFill="1" applyBorder="1"/>
    <xf numFmtId="39" fontId="0" fillId="23" borderId="4" xfId="0" applyNumberFormat="1" applyFill="1" applyBorder="1"/>
    <xf numFmtId="43" fontId="0" fillId="23" borderId="4" xfId="1" applyFont="1" applyFill="1" applyBorder="1"/>
    <xf numFmtId="0" fontId="12" fillId="22" borderId="83" xfId="0" applyFont="1" applyFill="1" applyBorder="1"/>
    <xf numFmtId="0" fontId="0" fillId="22" borderId="84" xfId="0" applyFill="1" applyBorder="1"/>
    <xf numFmtId="0" fontId="0" fillId="22" borderId="87" xfId="0" applyFill="1" applyBorder="1"/>
    <xf numFmtId="0" fontId="12" fillId="22" borderId="16" xfId="0" applyFont="1" applyFill="1" applyBorder="1"/>
    <xf numFmtId="0" fontId="0" fillId="22" borderId="4" xfId="0" applyFill="1" applyBorder="1"/>
    <xf numFmtId="43" fontId="0" fillId="22" borderId="4" xfId="1" applyFont="1" applyFill="1" applyBorder="1"/>
    <xf numFmtId="43" fontId="0" fillId="22" borderId="24" xfId="1" applyFont="1" applyFill="1" applyBorder="1"/>
    <xf numFmtId="0" fontId="5" fillId="3" borderId="121" xfId="12" applyFont="1" applyFill="1" applyBorder="1" applyAlignment="1" applyProtection="1">
      <alignment horizontal="center" wrapText="1"/>
    </xf>
    <xf numFmtId="0" fontId="5" fillId="3" borderId="26" xfId="12" applyFont="1" applyFill="1" applyBorder="1" applyAlignment="1" applyProtection="1">
      <alignment horizontal="center" wrapText="1"/>
    </xf>
    <xf numFmtId="0" fontId="5" fillId="3" borderId="140" xfId="12" applyFont="1" applyFill="1" applyBorder="1" applyAlignment="1" applyProtection="1">
      <alignment horizontal="centerContinuous" vertical="center" wrapText="1"/>
    </xf>
    <xf numFmtId="0" fontId="5" fillId="3" borderId="122" xfId="12" applyFont="1" applyFill="1" applyBorder="1" applyAlignment="1" applyProtection="1">
      <alignment horizontal="center" wrapText="1"/>
    </xf>
    <xf numFmtId="0" fontId="5" fillId="3" borderId="13" xfId="12" applyFont="1" applyFill="1" applyBorder="1" applyAlignment="1" applyProtection="1">
      <alignment horizontal="center" vertical="center" wrapText="1"/>
    </xf>
    <xf numFmtId="0" fontId="48" fillId="22" borderId="75" xfId="12" applyFont="1" applyFill="1" applyBorder="1" applyAlignment="1" applyProtection="1">
      <alignment horizontal="center" vertical="center" wrapText="1"/>
    </xf>
    <xf numFmtId="0" fontId="48" fillId="22" borderId="41" xfId="12" applyFont="1" applyFill="1" applyBorder="1" applyAlignment="1" applyProtection="1">
      <alignment horizontal="center" vertical="center" wrapText="1"/>
    </xf>
    <xf numFmtId="0" fontId="48" fillId="22" borderId="120" xfId="12" applyFont="1" applyFill="1" applyBorder="1" applyAlignment="1" applyProtection="1">
      <alignment horizontal="center" vertical="center" wrapText="1"/>
    </xf>
    <xf numFmtId="167" fontId="8" fillId="22" borderId="49" xfId="4" applyNumberFormat="1" applyFont="1" applyFill="1" applyBorder="1" applyAlignment="1" applyProtection="1">
      <alignment horizontal="center" vertical="center" wrapText="1"/>
    </xf>
    <xf numFmtId="167" fontId="8" fillId="22" borderId="40" xfId="4" applyNumberFormat="1" applyFont="1" applyFill="1" applyBorder="1" applyAlignment="1" applyProtection="1">
      <alignment horizontal="center" vertical="center" wrapText="1"/>
    </xf>
    <xf numFmtId="169" fontId="8" fillId="22" borderId="40" xfId="4" applyNumberFormat="1" applyFont="1" applyFill="1" applyBorder="1" applyAlignment="1" applyProtection="1">
      <alignment horizontal="center" vertical="center" wrapText="1"/>
    </xf>
    <xf numFmtId="167" fontId="8" fillId="22" borderId="65" xfId="4" applyNumberFormat="1" applyFont="1" applyFill="1" applyBorder="1" applyAlignment="1" applyProtection="1">
      <alignment horizontal="center" vertical="center" wrapText="1"/>
    </xf>
    <xf numFmtId="168" fontId="7" fillId="0" borderId="66" xfId="4" applyNumberFormat="1" applyFont="1" applyFill="1" applyBorder="1" applyAlignment="1" applyProtection="1">
      <alignment horizontal="center" vertical="top" wrapText="1"/>
      <protection locked="0"/>
    </xf>
    <xf numFmtId="168" fontId="7" fillId="0" borderId="67" xfId="4" applyNumberFormat="1" applyFont="1" applyFill="1" applyBorder="1" applyAlignment="1" applyProtection="1">
      <alignment horizontal="center" vertical="top" wrapText="1"/>
      <protection locked="0"/>
    </xf>
    <xf numFmtId="49" fontId="8" fillId="22" borderId="40" xfId="4" applyNumberFormat="1" applyFont="1" applyFill="1" applyBorder="1" applyAlignment="1" applyProtection="1">
      <alignment horizontal="left" vertical="center" wrapText="1"/>
    </xf>
    <xf numFmtId="168" fontId="7" fillId="0" borderId="69" xfId="4" applyNumberFormat="1" applyFont="1" applyFill="1" applyBorder="1" applyAlignment="1" applyProtection="1">
      <alignment horizontal="center" vertical="top" wrapText="1"/>
      <protection locked="0"/>
    </xf>
    <xf numFmtId="0" fontId="8" fillId="22" borderId="57" xfId="4" applyNumberFormat="1" applyFont="1" applyFill="1" applyBorder="1" applyAlignment="1" applyProtection="1">
      <alignment horizontal="center" vertical="center" wrapText="1"/>
    </xf>
    <xf numFmtId="0" fontId="8" fillId="22" borderId="58" xfId="4" applyNumberFormat="1" applyFont="1" applyFill="1" applyBorder="1" applyAlignment="1" applyProtection="1">
      <alignment horizontal="center" vertical="center" wrapText="1"/>
    </xf>
    <xf numFmtId="170" fontId="7" fillId="0" borderId="112" xfId="4" applyNumberFormat="1" applyFont="1" applyFill="1" applyBorder="1" applyAlignment="1" applyProtection="1">
      <alignment horizontal="center" vertical="center" wrapText="1"/>
      <protection locked="0"/>
    </xf>
    <xf numFmtId="0" fontId="24" fillId="22" borderId="58" xfId="0" applyFont="1" applyFill="1" applyBorder="1" applyAlignment="1" applyProtection="1">
      <alignment vertical="top" wrapText="1"/>
      <protection locked="0"/>
    </xf>
    <xf numFmtId="3" fontId="8" fillId="22" borderId="40" xfId="4" applyNumberFormat="1" applyFont="1" applyFill="1" applyBorder="1" applyAlignment="1" applyProtection="1">
      <alignment horizontal="center" vertical="center" wrapText="1"/>
      <protection locked="0"/>
    </xf>
    <xf numFmtId="49" fontId="8" fillId="22" borderId="57" xfId="4" applyNumberFormat="1" applyFont="1" applyFill="1" applyBorder="1" applyAlignment="1" applyProtection="1">
      <alignment horizontal="left" vertical="center" wrapText="1"/>
      <protection locked="0"/>
    </xf>
    <xf numFmtId="49" fontId="8" fillId="22" borderId="58" xfId="4" applyNumberFormat="1" applyFont="1" applyFill="1" applyBorder="1" applyAlignment="1" applyProtection="1">
      <alignment horizontal="left" vertical="center" wrapText="1"/>
      <protection locked="0"/>
    </xf>
    <xf numFmtId="0" fontId="5" fillId="13" borderId="70" xfId="0" applyFont="1" applyFill="1" applyBorder="1" applyAlignment="1">
      <alignment vertical="center" wrapText="1"/>
    </xf>
    <xf numFmtId="0" fontId="5" fillId="13" borderId="70" xfId="0" applyFont="1" applyFill="1" applyBorder="1" applyAlignment="1">
      <alignment vertical="top" wrapText="1"/>
    </xf>
    <xf numFmtId="0" fontId="5" fillId="13" borderId="71" xfId="0" applyFont="1" applyFill="1" applyBorder="1" applyAlignment="1">
      <alignment vertical="top" wrapText="1"/>
    </xf>
    <xf numFmtId="167" fontId="5" fillId="13" borderId="80" xfId="4" applyNumberFormat="1" applyFont="1" applyFill="1" applyBorder="1" applyAlignment="1" applyProtection="1">
      <alignment horizontal="center" vertical="center" wrapText="1"/>
    </xf>
    <xf numFmtId="9" fontId="49" fillId="9" borderId="153" xfId="0" applyNumberFormat="1" applyFont="1" applyFill="1" applyBorder="1" applyAlignment="1">
      <alignment horizontal="center" vertical="center" wrapText="1"/>
    </xf>
    <xf numFmtId="9" fontId="49" fillId="9" borderId="106" xfId="0" applyNumberFormat="1" applyFont="1" applyFill="1" applyBorder="1" applyAlignment="1">
      <alignment horizontal="center" vertical="center" wrapText="1"/>
    </xf>
    <xf numFmtId="1" fontId="16" fillId="9" borderId="105" xfId="0" applyNumberFormat="1" applyFont="1" applyFill="1" applyBorder="1" applyAlignment="1" applyProtection="1">
      <alignment horizontal="center" vertical="center" wrapText="1"/>
      <protection locked="0"/>
    </xf>
    <xf numFmtId="0" fontId="7" fillId="0" borderId="3" xfId="0" applyFont="1" applyBorder="1" applyAlignment="1" applyProtection="1">
      <alignment vertical="center" wrapText="1"/>
      <protection locked="0"/>
    </xf>
    <xf numFmtId="0" fontId="0" fillId="12" borderId="63" xfId="0" applyFill="1" applyBorder="1" applyAlignment="1">
      <alignment horizontal="centerContinuous" vertical="center" wrapText="1"/>
    </xf>
    <xf numFmtId="0" fontId="26" fillId="22" borderId="149" xfId="0" applyFont="1" applyFill="1" applyBorder="1" applyAlignment="1">
      <alignment horizontal="centerContinuous" vertical="center" wrapText="1"/>
    </xf>
    <xf numFmtId="0" fontId="16" fillId="12" borderId="40" xfId="0" applyFont="1" applyFill="1" applyBorder="1" applyAlignment="1">
      <alignment horizontal="centerContinuous" vertical="center" wrapText="1"/>
    </xf>
    <xf numFmtId="0" fontId="24" fillId="30" borderId="131" xfId="0" applyFont="1" applyFill="1" applyBorder="1" applyAlignment="1" applyProtection="1">
      <alignment vertical="top" wrapText="1"/>
      <protection locked="0"/>
    </xf>
    <xf numFmtId="0" fontId="24" fillId="30" borderId="132" xfId="0" applyFont="1" applyFill="1" applyBorder="1" applyAlignment="1" applyProtection="1">
      <alignment vertical="top" wrapText="1"/>
      <protection locked="0"/>
    </xf>
    <xf numFmtId="0" fontId="24" fillId="30" borderId="29" xfId="0" applyFont="1" applyFill="1" applyBorder="1" applyAlignment="1" applyProtection="1">
      <alignment vertical="top" wrapText="1"/>
      <protection locked="0"/>
    </xf>
    <xf numFmtId="169" fontId="8" fillId="22" borderId="39" xfId="4" applyNumberFormat="1" applyFont="1" applyFill="1" applyBorder="1" applyAlignment="1" applyProtection="1">
      <alignment vertical="center" wrapText="1"/>
    </xf>
    <xf numFmtId="0" fontId="8" fillId="22" borderId="47" xfId="0" applyFont="1" applyFill="1" applyBorder="1" applyAlignment="1">
      <alignment vertical="top" wrapText="1"/>
    </xf>
    <xf numFmtId="0" fontId="52" fillId="32" borderId="134" xfId="72" applyFont="1" applyFill="1" applyBorder="1" applyAlignment="1">
      <alignment wrapText="1"/>
    </xf>
    <xf numFmtId="0" fontId="0" fillId="29" borderId="134" xfId="0" applyFill="1" applyBorder="1" applyAlignment="1">
      <alignment wrapText="1"/>
    </xf>
    <xf numFmtId="9" fontId="8" fillId="6" borderId="4" xfId="0" applyNumberFormat="1" applyFont="1" applyFill="1" applyBorder="1" applyAlignment="1">
      <alignment vertical="center"/>
    </xf>
    <xf numFmtId="9" fontId="7" fillId="0" borderId="15" xfId="5" applyFont="1" applyFill="1" applyBorder="1" applyAlignment="1" applyProtection="1">
      <alignment vertical="center" wrapText="1"/>
      <protection locked="0"/>
    </xf>
    <xf numFmtId="0" fontId="4" fillId="2" borderId="85" xfId="0" applyFont="1" applyFill="1" applyBorder="1" applyAlignment="1" applyProtection="1">
      <alignment vertical="top"/>
      <protection locked="0"/>
    </xf>
    <xf numFmtId="0" fontId="5" fillId="3" borderId="10" xfId="0" applyFont="1" applyFill="1" applyBorder="1" applyAlignment="1" applyProtection="1">
      <alignment horizontal="center" vertical="top" wrapText="1"/>
      <protection locked="0"/>
    </xf>
    <xf numFmtId="0" fontId="32" fillId="31" borderId="16" xfId="0" applyFont="1" applyFill="1" applyBorder="1" applyAlignment="1" applyProtection="1">
      <alignment vertical="center"/>
      <protection locked="0"/>
    </xf>
    <xf numFmtId="9" fontId="8" fillId="0" borderId="10" xfId="5" applyFont="1" applyFill="1" applyBorder="1" applyAlignment="1" applyProtection="1">
      <alignment vertical="center" wrapText="1"/>
      <protection locked="0"/>
    </xf>
    <xf numFmtId="9" fontId="8" fillId="6" borderId="16" xfId="5" applyFont="1" applyFill="1" applyBorder="1" applyAlignment="1" applyProtection="1">
      <alignment vertical="center" wrapText="1"/>
      <protection locked="0"/>
    </xf>
    <xf numFmtId="0" fontId="8" fillId="7" borderId="90" xfId="0" applyFont="1" applyFill="1" applyBorder="1" applyAlignment="1">
      <alignment vertical="center" wrapText="1"/>
    </xf>
    <xf numFmtId="3" fontId="8" fillId="7" borderId="91" xfId="0" applyNumberFormat="1" applyFont="1" applyFill="1" applyBorder="1" applyAlignment="1">
      <alignment vertical="center" wrapText="1"/>
    </xf>
    <xf numFmtId="3" fontId="8" fillId="8" borderId="89" xfId="0" applyNumberFormat="1" applyFont="1" applyFill="1" applyBorder="1" applyAlignment="1">
      <alignment vertical="center" wrapText="1"/>
    </xf>
    <xf numFmtId="0" fontId="7" fillId="7" borderId="94" xfId="0" applyFont="1" applyFill="1" applyBorder="1" applyAlignment="1">
      <alignment vertical="center" wrapText="1"/>
    </xf>
    <xf numFmtId="0" fontId="8" fillId="7" borderId="89" xfId="0" applyFont="1" applyFill="1" applyBorder="1" applyAlignment="1">
      <alignment vertical="center" wrapText="1"/>
    </xf>
    <xf numFmtId="0" fontId="7" fillId="0" borderId="4" xfId="0" applyFont="1" applyBorder="1" applyAlignment="1">
      <alignment horizontal="center" vertical="center" wrapText="1"/>
    </xf>
    <xf numFmtId="0" fontId="57" fillId="30" borderId="17" xfId="72" applyFont="1" applyFill="1" applyBorder="1" applyAlignment="1">
      <alignment horizontal="centerContinuous"/>
    </xf>
    <xf numFmtId="0" fontId="27" fillId="3" borderId="12" xfId="72" applyFont="1" applyFill="1" applyBorder="1" applyAlignment="1">
      <alignment horizontal="center"/>
    </xf>
    <xf numFmtId="0" fontId="27" fillId="3" borderId="30" xfId="72" applyFont="1" applyFill="1" applyBorder="1" applyAlignment="1">
      <alignment horizontal="center"/>
    </xf>
    <xf numFmtId="0" fontId="3" fillId="0" borderId="12" xfId="72" applyBorder="1" applyAlignment="1">
      <alignment horizontal="left"/>
    </xf>
    <xf numFmtId="9" fontId="3" fillId="0" borderId="30" xfId="72" applyNumberFormat="1" applyBorder="1" applyAlignment="1">
      <alignment horizontal="center" vertical="center"/>
    </xf>
    <xf numFmtId="0" fontId="16" fillId="0" borderId="59" xfId="0" applyFont="1" applyBorder="1" applyAlignment="1" applyProtection="1">
      <alignment horizontal="left" vertical="center" wrapText="1"/>
      <protection locked="0"/>
    </xf>
    <xf numFmtId="0" fontId="16" fillId="0" borderId="48" xfId="0" applyFont="1" applyBorder="1" applyAlignment="1" applyProtection="1">
      <alignment vertical="top" wrapText="1"/>
      <protection locked="0"/>
    </xf>
    <xf numFmtId="0" fontId="16" fillId="0" borderId="59" xfId="0" applyFont="1" applyBorder="1" applyAlignment="1" applyProtection="1">
      <alignment vertical="top"/>
      <protection locked="0"/>
    </xf>
    <xf numFmtId="170" fontId="7" fillId="35" borderId="112" xfId="4" applyNumberFormat="1" applyFont="1" applyFill="1" applyBorder="1" applyAlignment="1" applyProtection="1">
      <alignment horizontal="center" vertical="center" wrapText="1"/>
      <protection locked="0"/>
    </xf>
    <xf numFmtId="9" fontId="16" fillId="35" borderId="59" xfId="5" applyFont="1" applyFill="1" applyBorder="1" applyAlignment="1" applyProtection="1">
      <alignment horizontal="center" vertical="center"/>
    </xf>
    <xf numFmtId="0" fontId="23" fillId="5" borderId="123" xfId="6" applyFont="1" applyFill="1" applyBorder="1" applyAlignment="1" applyProtection="1">
      <alignment horizontal="centerContinuous" vertical="center" wrapText="1"/>
    </xf>
    <xf numFmtId="0" fontId="23" fillId="5" borderId="17" xfId="6" applyFont="1" applyFill="1" applyBorder="1" applyAlignment="1" applyProtection="1">
      <alignment horizontal="centerContinuous" vertical="center" wrapText="1"/>
    </xf>
    <xf numFmtId="0" fontId="27" fillId="3" borderId="0" xfId="72" applyFont="1" applyFill="1" applyAlignment="1">
      <alignment horizontal="center"/>
    </xf>
    <xf numFmtId="9" fontId="3" fillId="0" borderId="0" xfId="72" applyNumberFormat="1" applyAlignment="1">
      <alignment horizontal="center" vertical="center"/>
    </xf>
    <xf numFmtId="0" fontId="12" fillId="34" borderId="18" xfId="72" applyFont="1" applyFill="1" applyBorder="1" applyAlignment="1">
      <alignment horizontal="right"/>
    </xf>
    <xf numFmtId="9" fontId="12" fillId="34" borderId="19" xfId="72" applyNumberFormat="1" applyFont="1" applyFill="1" applyBorder="1" applyAlignment="1">
      <alignment horizontal="center" vertical="center"/>
    </xf>
    <xf numFmtId="9" fontId="12" fillId="34" borderId="32" xfId="72" applyNumberFormat="1" applyFont="1" applyFill="1" applyBorder="1" applyAlignment="1">
      <alignment horizontal="center" vertical="center"/>
    </xf>
    <xf numFmtId="49" fontId="51" fillId="36" borderId="4" xfId="75" applyNumberFormat="1" applyFont="1" applyFill="1" applyBorder="1" applyAlignment="1">
      <alignment horizontal="left" vertical="center" wrapText="1" indent="1"/>
    </xf>
    <xf numFmtId="0" fontId="5" fillId="29" borderId="4" xfId="12" applyFont="1" applyFill="1" applyBorder="1" applyAlignment="1">
      <alignment horizontal="center" vertical="center" wrapText="1"/>
    </xf>
    <xf numFmtId="49" fontId="51" fillId="36" borderId="4" xfId="75" applyNumberFormat="1" applyFont="1" applyFill="1" applyBorder="1" applyAlignment="1">
      <alignment horizontal="center" vertical="center" wrapText="1"/>
    </xf>
    <xf numFmtId="49" fontId="51" fillId="36" borderId="4" xfId="75" applyNumberFormat="1" applyFont="1" applyFill="1" applyBorder="1" applyAlignment="1">
      <alignment horizontal="right" vertical="center" wrapText="1"/>
    </xf>
    <xf numFmtId="165" fontId="51" fillId="36" borderId="4" xfId="1" applyNumberFormat="1" applyFont="1" applyFill="1" applyBorder="1" applyAlignment="1">
      <alignment horizontal="left" vertical="center" wrapText="1" indent="1"/>
    </xf>
    <xf numFmtId="49" fontId="51" fillId="36" borderId="4" xfId="1" applyNumberFormat="1" applyFont="1" applyFill="1" applyBorder="1" applyAlignment="1">
      <alignment vertical="center" wrapText="1"/>
    </xf>
    <xf numFmtId="165" fontId="51" fillId="36" borderId="4" xfId="1" applyNumberFormat="1" applyFont="1" applyFill="1" applyBorder="1" applyAlignment="1">
      <alignment horizontal="left" vertical="center" wrapText="1" indent="2"/>
    </xf>
    <xf numFmtId="0" fontId="60" fillId="29" borderId="4" xfId="12" applyFont="1" applyFill="1" applyBorder="1" applyAlignment="1">
      <alignment horizontal="center" vertical="center" wrapText="1"/>
    </xf>
    <xf numFmtId="0" fontId="31" fillId="29" borderId="4" xfId="12" applyFont="1" applyFill="1" applyBorder="1" applyAlignment="1">
      <alignment horizontal="center" vertical="center" wrapText="1"/>
    </xf>
    <xf numFmtId="0" fontId="66" fillId="0" borderId="4" xfId="0" applyFont="1" applyBorder="1" applyAlignment="1">
      <alignment horizontal="left" vertical="center" wrapText="1" indent="1"/>
    </xf>
    <xf numFmtId="0" fontId="66" fillId="29" borderId="4" xfId="0" applyFont="1" applyFill="1" applyBorder="1" applyAlignment="1">
      <alignment horizontal="left" vertical="center" wrapText="1" indent="1"/>
    </xf>
    <xf numFmtId="0" fontId="60" fillId="37" borderId="4" xfId="0" applyFont="1" applyFill="1" applyBorder="1" applyAlignment="1">
      <alignment horizontal="center" vertical="center" wrapText="1"/>
    </xf>
    <xf numFmtId="49" fontId="66" fillId="29" borderId="4" xfId="38" applyNumberFormat="1" applyFont="1" applyFill="1" applyBorder="1" applyAlignment="1">
      <alignment horizontal="center" vertical="center"/>
    </xf>
    <xf numFmtId="0" fontId="66" fillId="29" borderId="4" xfId="0" applyFont="1" applyFill="1" applyBorder="1" applyAlignment="1">
      <alignment horizontal="right" vertical="center" wrapText="1"/>
    </xf>
    <xf numFmtId="165" fontId="66" fillId="29" borderId="4" xfId="1" applyNumberFormat="1" applyFont="1" applyFill="1" applyBorder="1" applyAlignment="1">
      <alignment horizontal="right" vertical="center" wrapText="1"/>
    </xf>
    <xf numFmtId="49" fontId="66" fillId="29" borderId="4" xfId="1" applyNumberFormat="1" applyFont="1" applyFill="1" applyBorder="1" applyAlignment="1">
      <alignment vertical="center" wrapText="1"/>
    </xf>
    <xf numFmtId="165" fontId="60" fillId="0" borderId="4" xfId="1" applyNumberFormat="1" applyFont="1" applyFill="1" applyBorder="1" applyAlignment="1">
      <alignment horizontal="center" vertical="center" wrapText="1"/>
    </xf>
    <xf numFmtId="165" fontId="60" fillId="29" borderId="4" xfId="1" applyNumberFormat="1" applyFont="1" applyFill="1" applyBorder="1" applyAlignment="1">
      <alignment horizontal="center" vertical="center" wrapText="1"/>
    </xf>
    <xf numFmtId="165" fontId="60" fillId="0" borderId="4" xfId="1" applyNumberFormat="1" applyFont="1" applyFill="1" applyBorder="1" applyAlignment="1">
      <alignment vertical="center" wrapText="1"/>
    </xf>
    <xf numFmtId="0" fontId="60" fillId="29" borderId="4" xfId="12" applyFont="1" applyFill="1" applyBorder="1" applyAlignment="1">
      <alignment horizontal="left" vertical="center" wrapText="1" indent="1"/>
    </xf>
    <xf numFmtId="165" fontId="66" fillId="0" borderId="4" xfId="1" applyNumberFormat="1" applyFont="1" applyFill="1" applyBorder="1" applyAlignment="1">
      <alignment horizontal="right" vertical="center" wrapText="1"/>
    </xf>
    <xf numFmtId="0" fontId="60" fillId="0" borderId="4" xfId="0" applyFont="1" applyBorder="1" applyAlignment="1">
      <alignment horizontal="left" vertical="center" wrapText="1" indent="1"/>
    </xf>
    <xf numFmtId="0" fontId="24" fillId="30" borderId="74" xfId="0" applyFont="1" applyFill="1" applyBorder="1" applyAlignment="1" applyProtection="1">
      <alignment vertical="top" wrapText="1"/>
      <protection locked="0"/>
    </xf>
    <xf numFmtId="49" fontId="28" fillId="21" borderId="74" xfId="12" applyNumberFormat="1" applyFont="1" applyFill="1" applyBorder="1" applyAlignment="1" applyProtection="1">
      <alignment horizontal="centerContinuous" vertical="center" wrapText="1"/>
    </xf>
    <xf numFmtId="49" fontId="60" fillId="21" borderId="38" xfId="0" applyNumberFormat="1" applyFont="1" applyFill="1" applyBorder="1" applyAlignment="1">
      <alignment horizontal="centerContinuous" vertical="center" wrapText="1"/>
    </xf>
    <xf numFmtId="49" fontId="60" fillId="21" borderId="45" xfId="0" applyNumberFormat="1" applyFont="1" applyFill="1" applyBorder="1" applyAlignment="1">
      <alignment horizontal="centerContinuous" vertical="center" wrapText="1"/>
    </xf>
    <xf numFmtId="167" fontId="28" fillId="21" borderId="0" xfId="12" applyNumberFormat="1" applyFont="1" applyFill="1" applyBorder="1" applyAlignment="1" applyProtection="1">
      <alignment horizontal="center" vertical="center" wrapText="1"/>
    </xf>
    <xf numFmtId="49" fontId="24" fillId="21" borderId="0" xfId="12" applyNumberFormat="1" applyFont="1" applyFill="1" applyBorder="1" applyAlignment="1" applyProtection="1">
      <alignment horizontal="left" vertical="center"/>
    </xf>
    <xf numFmtId="0" fontId="24" fillId="21" borderId="56" xfId="12" applyFont="1" applyFill="1" applyBorder="1" applyAlignment="1" applyProtection="1">
      <alignment horizontal="center" vertical="center"/>
    </xf>
    <xf numFmtId="0" fontId="24" fillId="21" borderId="14" xfId="12" applyFont="1" applyFill="1" applyBorder="1" applyAlignment="1" applyProtection="1">
      <alignment horizontal="center" vertical="center"/>
    </xf>
    <xf numFmtId="0" fontId="24" fillId="21" borderId="0" xfId="12" applyFont="1" applyFill="1" applyBorder="1" applyAlignment="1" applyProtection="1">
      <alignment horizontal="center" vertical="center"/>
    </xf>
    <xf numFmtId="0" fontId="24" fillId="21" borderId="46" xfId="12" applyFont="1" applyFill="1" applyBorder="1" applyAlignment="1" applyProtection="1">
      <alignment horizontal="center" vertical="center"/>
    </xf>
    <xf numFmtId="167" fontId="28" fillId="21" borderId="68" xfId="12" applyNumberFormat="1" applyFont="1" applyFill="1" applyBorder="1" applyAlignment="1" applyProtection="1">
      <alignment horizontal="center" vertical="center" wrapText="1"/>
    </xf>
    <xf numFmtId="172" fontId="5" fillId="5" borderId="114" xfId="6" applyNumberFormat="1" applyFont="1" applyFill="1" applyBorder="1" applyAlignment="1" applyProtection="1">
      <alignment horizontal="center" vertical="center" wrapText="1"/>
    </xf>
    <xf numFmtId="173" fontId="28" fillId="21" borderId="112" xfId="12" applyNumberFormat="1" applyFont="1" applyFill="1" applyBorder="1" applyAlignment="1" applyProtection="1">
      <alignment horizontal="center" vertical="center" wrapText="1"/>
    </xf>
    <xf numFmtId="172" fontId="8" fillId="22" borderId="116" xfId="4" applyNumberFormat="1" applyFont="1" applyFill="1" applyBorder="1" applyAlignment="1" applyProtection="1">
      <alignment horizontal="center" vertical="center" wrapText="1"/>
    </xf>
    <xf numFmtId="172" fontId="49" fillId="9" borderId="117" xfId="0" applyNumberFormat="1" applyFont="1" applyFill="1" applyBorder="1" applyAlignment="1">
      <alignment horizontal="center" vertical="center" wrapText="1"/>
    </xf>
    <xf numFmtId="0" fontId="45" fillId="9" borderId="156" xfId="0" applyFont="1" applyFill="1" applyBorder="1" applyAlignment="1">
      <alignment horizontal="center" vertical="center" wrapText="1"/>
    </xf>
    <xf numFmtId="0" fontId="21" fillId="3" borderId="157" xfId="12" applyFont="1" applyFill="1" applyBorder="1" applyAlignment="1" applyProtection="1">
      <alignment horizontal="center" vertical="top" wrapText="1"/>
    </xf>
    <xf numFmtId="0" fontId="21" fillId="3" borderId="159" xfId="12" applyFont="1" applyFill="1" applyBorder="1" applyAlignment="1" applyProtection="1">
      <alignment horizontal="centerContinuous" vertical="center" wrapText="1"/>
    </xf>
    <xf numFmtId="41" fontId="16" fillId="0" borderId="0" xfId="0" applyNumberFormat="1" applyFont="1" applyAlignment="1" applyProtection="1">
      <alignment horizontal="left" vertical="center" wrapText="1"/>
      <protection locked="0"/>
    </xf>
    <xf numFmtId="41" fontId="34" fillId="0" borderId="108" xfId="4" applyNumberFormat="1" applyFont="1" applyFill="1" applyBorder="1" applyAlignment="1" applyProtection="1">
      <alignment horizontal="center" vertical="center" wrapText="1"/>
    </xf>
    <xf numFmtId="167" fontId="49" fillId="9" borderId="118" xfId="0" applyNumberFormat="1" applyFont="1" applyFill="1" applyBorder="1" applyAlignment="1">
      <alignment horizontal="right" vertical="center" wrapText="1"/>
    </xf>
    <xf numFmtId="167" fontId="49" fillId="9" borderId="105" xfId="0" applyNumberFormat="1" applyFont="1" applyFill="1" applyBorder="1" applyAlignment="1">
      <alignment horizontal="right" vertical="center" wrapText="1"/>
    </xf>
    <xf numFmtId="0" fontId="26" fillId="38" borderId="149" xfId="0" applyFont="1" applyFill="1" applyBorder="1" applyAlignment="1">
      <alignment horizontal="centerContinuous" vertical="center" wrapText="1"/>
    </xf>
    <xf numFmtId="0" fontId="16" fillId="38" borderId="40" xfId="0" applyFont="1" applyFill="1" applyBorder="1" applyAlignment="1">
      <alignment horizontal="centerContinuous" vertical="center" wrapText="1"/>
    </xf>
    <xf numFmtId="0" fontId="0" fillId="38" borderId="63" xfId="0" applyFill="1" applyBorder="1" applyAlignment="1">
      <alignment horizontal="centerContinuous" vertical="center" wrapText="1"/>
    </xf>
    <xf numFmtId="0" fontId="48" fillId="38" borderId="75" xfId="12" applyFont="1" applyFill="1" applyBorder="1" applyAlignment="1" applyProtection="1">
      <alignment horizontal="center" vertical="center" wrapText="1"/>
    </xf>
    <xf numFmtId="0" fontId="48" fillId="38" borderId="41" xfId="12" applyFont="1" applyFill="1" applyBorder="1" applyAlignment="1" applyProtection="1">
      <alignment horizontal="center" vertical="center" wrapText="1"/>
    </xf>
    <xf numFmtId="0" fontId="48" fillId="38" borderId="120" xfId="12" applyFont="1" applyFill="1" applyBorder="1" applyAlignment="1" applyProtection="1">
      <alignment horizontal="center" vertical="center" wrapText="1"/>
    </xf>
    <xf numFmtId="167" fontId="8" fillId="38" borderId="40" xfId="4" applyNumberFormat="1" applyFont="1" applyFill="1" applyBorder="1" applyAlignment="1" applyProtection="1">
      <alignment horizontal="center" vertical="center" wrapText="1"/>
    </xf>
    <xf numFmtId="49" fontId="8" fillId="38" borderId="40" xfId="4" applyNumberFormat="1" applyFont="1" applyFill="1" applyBorder="1" applyAlignment="1" applyProtection="1">
      <alignment horizontal="left" vertical="center" wrapText="1"/>
    </xf>
    <xf numFmtId="0" fontId="8" fillId="38" borderId="57" xfId="4" applyNumberFormat="1" applyFont="1" applyFill="1" applyBorder="1" applyAlignment="1" applyProtection="1">
      <alignment horizontal="center" vertical="center" wrapText="1"/>
    </xf>
    <xf numFmtId="0" fontId="8" fillId="38" borderId="58" xfId="4" applyNumberFormat="1" applyFont="1" applyFill="1" applyBorder="1" applyAlignment="1" applyProtection="1">
      <alignment horizontal="center" vertical="center" wrapText="1"/>
    </xf>
    <xf numFmtId="169" fontId="8" fillId="38" borderId="40" xfId="4" applyNumberFormat="1" applyFont="1" applyFill="1" applyBorder="1" applyAlignment="1" applyProtection="1">
      <alignment horizontal="center" vertical="center" wrapText="1"/>
    </xf>
    <xf numFmtId="169" fontId="8" fillId="38" borderId="39" xfId="4" applyNumberFormat="1" applyFont="1" applyFill="1" applyBorder="1" applyAlignment="1" applyProtection="1">
      <alignment vertical="center" wrapText="1"/>
    </xf>
    <xf numFmtId="0" fontId="8" fillId="38" borderId="47" xfId="0" applyFont="1" applyFill="1" applyBorder="1" applyAlignment="1">
      <alignment vertical="top" wrapText="1"/>
    </xf>
    <xf numFmtId="172" fontId="8" fillId="38" borderId="116" xfId="4" applyNumberFormat="1" applyFont="1" applyFill="1" applyBorder="1" applyAlignment="1" applyProtection="1">
      <alignment horizontal="center" vertical="center" wrapText="1"/>
    </xf>
    <xf numFmtId="167" fontId="8" fillId="38" borderId="65" xfId="4" applyNumberFormat="1" applyFont="1" applyFill="1" applyBorder="1" applyAlignment="1" applyProtection="1">
      <alignment horizontal="center" vertical="center" wrapText="1"/>
    </xf>
    <xf numFmtId="169" fontId="8" fillId="38" borderId="47" xfId="4" applyNumberFormat="1" applyFont="1" applyFill="1" applyBorder="1" applyAlignment="1" applyProtection="1">
      <alignment vertical="center" wrapText="1"/>
    </xf>
    <xf numFmtId="9" fontId="16" fillId="0" borderId="51" xfId="5" applyFont="1" applyFill="1" applyBorder="1" applyAlignment="1" applyProtection="1">
      <alignment horizontal="center" vertical="center"/>
    </xf>
    <xf numFmtId="9" fontId="16" fillId="9" borderId="106" xfId="0" applyNumberFormat="1" applyFont="1" applyFill="1" applyBorder="1" applyAlignment="1">
      <alignment horizontal="center" vertical="center" wrapText="1"/>
    </xf>
    <xf numFmtId="9" fontId="16" fillId="0" borderId="154" xfId="5" applyFont="1" applyFill="1" applyBorder="1" applyAlignment="1" applyProtection="1">
      <alignment horizontal="center" vertical="center"/>
    </xf>
    <xf numFmtId="9" fontId="49" fillId="9" borderId="162" xfId="0" applyNumberFormat="1" applyFont="1" applyFill="1" applyBorder="1" applyAlignment="1">
      <alignment horizontal="center" vertical="center" wrapText="1"/>
    </xf>
    <xf numFmtId="9" fontId="49" fillId="9" borderId="164" xfId="0" applyNumberFormat="1" applyFont="1" applyFill="1" applyBorder="1" applyAlignment="1">
      <alignment horizontal="center" vertical="center" wrapText="1"/>
    </xf>
    <xf numFmtId="167" fontId="8" fillId="22" borderId="160" xfId="4" applyNumberFormat="1" applyFont="1" applyFill="1" applyBorder="1" applyAlignment="1" applyProtection="1">
      <alignment horizontal="center" vertical="center" wrapText="1"/>
    </xf>
    <xf numFmtId="167" fontId="8" fillId="22" borderId="63" xfId="4" applyNumberFormat="1" applyFont="1" applyFill="1" applyBorder="1" applyAlignment="1" applyProtection="1">
      <alignment horizontal="center" vertical="center" wrapText="1"/>
    </xf>
    <xf numFmtId="0" fontId="24" fillId="30" borderId="14" xfId="0" applyFont="1" applyFill="1" applyBorder="1" applyAlignment="1" applyProtection="1">
      <alignment vertical="top" wrapText="1"/>
      <protection locked="0"/>
    </xf>
    <xf numFmtId="167" fontId="8" fillId="38" borderId="63" xfId="4" applyNumberFormat="1" applyFont="1" applyFill="1" applyBorder="1" applyAlignment="1" applyProtection="1">
      <alignment horizontal="right" vertical="center" wrapText="1"/>
    </xf>
    <xf numFmtId="167" fontId="8" fillId="38" borderId="49" xfId="4" applyNumberFormat="1" applyFont="1" applyFill="1" applyBorder="1" applyAlignment="1" applyProtection="1">
      <alignment horizontal="right" vertical="center" wrapText="1"/>
    </xf>
    <xf numFmtId="167" fontId="28" fillId="21" borderId="63" xfId="12" applyNumberFormat="1" applyFont="1" applyFill="1" applyBorder="1" applyAlignment="1" applyProtection="1">
      <alignment horizontal="right" vertical="center" wrapText="1"/>
    </xf>
    <xf numFmtId="167" fontId="28" fillId="21" borderId="165" xfId="12" applyNumberFormat="1" applyFont="1" applyFill="1" applyBorder="1" applyAlignment="1" applyProtection="1">
      <alignment horizontal="right" vertical="center" wrapText="1"/>
    </xf>
    <xf numFmtId="167" fontId="28" fillId="21" borderId="166" xfId="12" applyNumberFormat="1" applyFont="1" applyFill="1" applyBorder="1" applyAlignment="1" applyProtection="1">
      <alignment horizontal="right" vertical="center" wrapText="1"/>
    </xf>
    <xf numFmtId="167" fontId="8" fillId="38" borderId="160" xfId="4" applyNumberFormat="1" applyFont="1" applyFill="1" applyBorder="1" applyAlignment="1" applyProtection="1">
      <alignment horizontal="right" vertical="center" wrapText="1"/>
    </xf>
    <xf numFmtId="0" fontId="12" fillId="0" borderId="0" xfId="0" applyFont="1" applyAlignment="1">
      <alignment vertical="top"/>
    </xf>
    <xf numFmtId="0" fontId="51" fillId="33" borderId="4" xfId="12" applyFont="1" applyFill="1" applyBorder="1" applyAlignment="1">
      <alignment horizontal="center" vertical="center" wrapText="1"/>
    </xf>
    <xf numFmtId="49" fontId="51" fillId="33" borderId="3" xfId="1" applyNumberFormat="1" applyFont="1" applyFill="1" applyBorder="1" applyAlignment="1">
      <alignment vertical="center" wrapText="1"/>
    </xf>
    <xf numFmtId="165" fontId="51" fillId="33" borderId="4" xfId="1" applyNumberFormat="1" applyFont="1" applyFill="1" applyBorder="1" applyAlignment="1">
      <alignment horizontal="center" vertical="center" wrapText="1"/>
    </xf>
    <xf numFmtId="49" fontId="51" fillId="33" borderId="5" xfId="1" applyNumberFormat="1" applyFont="1" applyFill="1" applyBorder="1" applyAlignment="1">
      <alignment vertical="center" wrapText="1"/>
    </xf>
    <xf numFmtId="0" fontId="51" fillId="29" borderId="4" xfId="12" applyFont="1" applyFill="1" applyBorder="1" applyAlignment="1">
      <alignment horizontal="center" vertical="center" wrapText="1"/>
    </xf>
    <xf numFmtId="0" fontId="51" fillId="29" borderId="5" xfId="12" applyFont="1" applyFill="1" applyBorder="1" applyAlignment="1">
      <alignment horizontal="center" vertical="center" wrapText="1"/>
    </xf>
    <xf numFmtId="0" fontId="51" fillId="29" borderId="5" xfId="12" applyFont="1" applyFill="1" applyBorder="1" applyAlignment="1">
      <alignment horizontal="left" vertical="center" wrapText="1" indent="1"/>
    </xf>
    <xf numFmtId="0" fontId="51" fillId="29" borderId="5" xfId="12" applyFont="1" applyFill="1" applyBorder="1" applyAlignment="1">
      <alignment horizontal="right" vertical="center" wrapText="1"/>
    </xf>
    <xf numFmtId="165" fontId="51" fillId="29" borderId="5" xfId="1" applyNumberFormat="1" applyFont="1" applyFill="1" applyBorder="1" applyAlignment="1">
      <alignment horizontal="center" vertical="center" wrapText="1"/>
    </xf>
    <xf numFmtId="49" fontId="51" fillId="29" borderId="5" xfId="1" applyNumberFormat="1" applyFont="1" applyFill="1" applyBorder="1" applyAlignment="1">
      <alignment vertical="center" wrapText="1"/>
    </xf>
    <xf numFmtId="165" fontId="51" fillId="29" borderId="4" xfId="1" applyNumberFormat="1" applyFont="1" applyFill="1" applyBorder="1" applyAlignment="1">
      <alignment horizontal="center" vertical="center" wrapText="1"/>
    </xf>
    <xf numFmtId="0" fontId="60" fillId="37" borderId="168" xfId="0" applyFont="1" applyFill="1" applyBorder="1" applyAlignment="1">
      <alignment horizontal="left" vertical="center" wrapText="1" indent="1"/>
    </xf>
    <xf numFmtId="0" fontId="60" fillId="37" borderId="169" xfId="0" applyFont="1" applyFill="1" applyBorder="1" applyAlignment="1">
      <alignment horizontal="left" vertical="center" wrapText="1" indent="1"/>
    </xf>
    <xf numFmtId="0" fontId="69" fillId="29" borderId="170" xfId="0" applyFont="1" applyFill="1" applyBorder="1" applyAlignment="1">
      <alignment horizontal="left" vertical="center" wrapText="1" indent="1"/>
    </xf>
    <xf numFmtId="0" fontId="69" fillId="29" borderId="171" xfId="0" applyFont="1" applyFill="1" applyBorder="1" applyAlignment="1">
      <alignment horizontal="left" vertical="center" wrapText="1" indent="1"/>
    </xf>
    <xf numFmtId="0" fontId="69" fillId="29" borderId="172" xfId="0" applyFont="1" applyFill="1" applyBorder="1" applyAlignment="1">
      <alignment horizontal="left" vertical="center" wrapText="1" indent="1"/>
    </xf>
    <xf numFmtId="165" fontId="69" fillId="29" borderId="173" xfId="1" applyNumberFormat="1" applyFont="1" applyFill="1" applyBorder="1" applyAlignment="1">
      <alignment horizontal="left" vertical="center" wrapText="1" indent="1"/>
    </xf>
    <xf numFmtId="0" fontId="60" fillId="37" borderId="173" xfId="0" applyFont="1" applyFill="1" applyBorder="1" applyAlignment="1">
      <alignment horizontal="left" vertical="center" wrapText="1" indent="1"/>
    </xf>
    <xf numFmtId="0" fontId="69" fillId="29" borderId="174" xfId="0" applyFont="1" applyFill="1" applyBorder="1" applyAlignment="1">
      <alignment horizontal="left" vertical="center" wrapText="1" indent="1"/>
    </xf>
    <xf numFmtId="0" fontId="60" fillId="37" borderId="172" xfId="0" applyFont="1" applyFill="1" applyBorder="1" applyAlignment="1">
      <alignment horizontal="left" vertical="center" wrapText="1" indent="1"/>
    </xf>
    <xf numFmtId="0" fontId="69" fillId="29" borderId="173" xfId="0" applyFont="1" applyFill="1" applyBorder="1" applyAlignment="1">
      <alignment horizontal="left" vertical="center" wrapText="1" indent="1"/>
    </xf>
    <xf numFmtId="0" fontId="60" fillId="29" borderId="174" xfId="0" applyFont="1" applyFill="1" applyBorder="1" applyAlignment="1">
      <alignment horizontal="left" vertical="center" wrapText="1" indent="1"/>
    </xf>
    <xf numFmtId="0" fontId="16" fillId="9" borderId="38" xfId="0" applyFont="1" applyFill="1" applyBorder="1" applyAlignment="1">
      <alignment horizontal="left" vertical="center" wrapText="1"/>
    </xf>
    <xf numFmtId="0" fontId="16" fillId="9" borderId="45" xfId="0" applyFont="1" applyFill="1" applyBorder="1" applyAlignment="1">
      <alignment horizontal="left" vertical="center" wrapText="1"/>
    </xf>
    <xf numFmtId="0" fontId="69" fillId="29" borderId="169" xfId="0" applyFont="1" applyFill="1" applyBorder="1" applyAlignment="1">
      <alignment horizontal="left" vertical="center" wrapText="1" indent="1"/>
    </xf>
    <xf numFmtId="0" fontId="60" fillId="37" borderId="170" xfId="0" applyFont="1" applyFill="1" applyBorder="1" applyAlignment="1">
      <alignment horizontal="left" vertical="center" wrapText="1" indent="1"/>
    </xf>
    <xf numFmtId="0" fontId="60" fillId="37" borderId="174" xfId="0" applyFont="1" applyFill="1" applyBorder="1" applyAlignment="1">
      <alignment horizontal="left" vertical="center" wrapText="1" indent="1"/>
    </xf>
    <xf numFmtId="0" fontId="60" fillId="29" borderId="172" xfId="0" applyFont="1" applyFill="1" applyBorder="1" applyAlignment="1">
      <alignment horizontal="left" vertical="center" wrapText="1" indent="1"/>
    </xf>
    <xf numFmtId="0" fontId="60" fillId="29" borderId="173" xfId="0" applyFont="1" applyFill="1" applyBorder="1" applyAlignment="1">
      <alignment horizontal="left" vertical="center" wrapText="1" indent="1"/>
    </xf>
    <xf numFmtId="170" fontId="7" fillId="35" borderId="112" xfId="4" applyNumberFormat="1" applyFont="1" applyFill="1" applyBorder="1" applyAlignment="1" applyProtection="1">
      <alignment horizontal="center" vertical="center" wrapText="1"/>
    </xf>
    <xf numFmtId="0" fontId="70" fillId="0" borderId="59" xfId="0" applyFont="1" applyBorder="1" applyAlignment="1" applyProtection="1">
      <alignment vertical="center" wrapText="1"/>
      <protection locked="0"/>
    </xf>
    <xf numFmtId="0" fontId="44" fillId="0" borderId="60" xfId="52" applyFont="1" applyBorder="1" applyAlignment="1" applyProtection="1">
      <alignment vertical="center" wrapText="1"/>
      <protection locked="0"/>
    </xf>
    <xf numFmtId="167" fontId="28" fillId="21" borderId="39" xfId="12" applyNumberFormat="1" applyFont="1" applyFill="1" applyBorder="1" applyAlignment="1" applyProtection="1">
      <alignment horizontal="right" vertical="center" wrapText="1"/>
    </xf>
    <xf numFmtId="167" fontId="8" fillId="38" borderId="39" xfId="4" applyNumberFormat="1" applyFont="1" applyFill="1" applyBorder="1" applyAlignment="1" applyProtection="1">
      <alignment horizontal="right" vertical="center" wrapText="1"/>
    </xf>
    <xf numFmtId="167" fontId="5" fillId="5" borderId="176" xfId="6" applyNumberFormat="1" applyFont="1" applyFill="1" applyBorder="1" applyAlignment="1" applyProtection="1">
      <alignment horizontal="center" vertical="center" wrapText="1"/>
    </xf>
    <xf numFmtId="167" fontId="28" fillId="21" borderId="177" xfId="12" applyNumberFormat="1" applyFont="1" applyFill="1" applyBorder="1" applyAlignment="1" applyProtection="1">
      <alignment horizontal="center" vertical="center" wrapText="1"/>
    </xf>
    <xf numFmtId="167" fontId="8" fillId="38" borderId="178" xfId="4" applyNumberFormat="1" applyFont="1" applyFill="1" applyBorder="1" applyAlignment="1" applyProtection="1">
      <alignment horizontal="center" vertical="center" wrapText="1"/>
    </xf>
    <xf numFmtId="42" fontId="5" fillId="5" borderId="175" xfId="6" applyNumberFormat="1" applyFont="1" applyFill="1" applyBorder="1" applyAlignment="1" applyProtection="1">
      <alignment horizontal="center" vertical="center" wrapText="1"/>
    </xf>
    <xf numFmtId="0" fontId="44" fillId="0" borderId="60" xfId="52" applyFont="1" applyBorder="1" applyAlignment="1" applyProtection="1">
      <alignment wrapText="1"/>
      <protection locked="0"/>
    </xf>
    <xf numFmtId="0" fontId="44" fillId="0" borderId="46" xfId="52" applyFont="1" applyBorder="1" applyAlignment="1" applyProtection="1">
      <alignment wrapText="1"/>
      <protection locked="0"/>
    </xf>
    <xf numFmtId="0" fontId="44" fillId="0" borderId="46" xfId="52" applyFont="1" applyBorder="1" applyAlignment="1" applyProtection="1">
      <alignment vertical="center" wrapText="1"/>
      <protection locked="0"/>
    </xf>
    <xf numFmtId="9" fontId="49" fillId="9" borderId="153" xfId="0" applyNumberFormat="1" applyFont="1" applyFill="1" applyBorder="1" applyAlignment="1" applyProtection="1">
      <alignment horizontal="center" vertical="center" wrapText="1"/>
      <protection locked="0"/>
    </xf>
    <xf numFmtId="9" fontId="49" fillId="9" borderId="106" xfId="0" applyNumberFormat="1" applyFont="1" applyFill="1" applyBorder="1" applyAlignment="1" applyProtection="1">
      <alignment horizontal="center" vertical="center" wrapText="1"/>
      <protection locked="0"/>
    </xf>
    <xf numFmtId="9" fontId="16" fillId="12" borderId="40" xfId="5" applyFont="1" applyFill="1" applyBorder="1" applyAlignment="1" applyProtection="1">
      <alignment horizontal="center" vertical="center"/>
      <protection locked="0"/>
    </xf>
    <xf numFmtId="169" fontId="8" fillId="22" borderId="39" xfId="4" applyNumberFormat="1" applyFont="1" applyFill="1" applyBorder="1" applyAlignment="1" applyProtection="1">
      <alignment vertical="center" wrapText="1"/>
      <protection locked="0"/>
    </xf>
    <xf numFmtId="0" fontId="8" fillId="22" borderId="47" xfId="0" applyFont="1" applyFill="1" applyBorder="1" applyAlignment="1" applyProtection="1">
      <alignment vertical="top" wrapText="1"/>
      <protection locked="0"/>
    </xf>
    <xf numFmtId="0" fontId="16" fillId="0" borderId="0" xfId="0" applyFont="1" applyAlignment="1" applyProtection="1">
      <alignment horizontal="center" vertical="center"/>
      <protection locked="0"/>
    </xf>
    <xf numFmtId="170" fontId="7" fillId="35" borderId="0" xfId="4" applyNumberFormat="1" applyFont="1" applyFill="1" applyBorder="1" applyAlignment="1" applyProtection="1">
      <alignment horizontal="center" vertical="center" wrapText="1"/>
      <protection locked="0"/>
    </xf>
    <xf numFmtId="49" fontId="16" fillId="0" borderId="59" xfId="0" applyNumberFormat="1" applyFont="1" applyBorder="1" applyAlignment="1">
      <alignment horizontal="left" vertical="center"/>
    </xf>
    <xf numFmtId="3" fontId="49" fillId="9" borderId="107" xfId="0" applyNumberFormat="1" applyFont="1" applyFill="1" applyBorder="1" applyAlignment="1">
      <alignment horizontal="center" vertical="center" wrapText="1"/>
    </xf>
    <xf numFmtId="1" fontId="49" fillId="9" borderId="105" xfId="0" applyNumberFormat="1" applyFont="1" applyFill="1" applyBorder="1" applyAlignment="1" applyProtection="1">
      <alignment horizontal="center" vertical="center" wrapText="1"/>
      <protection locked="0"/>
    </xf>
    <xf numFmtId="49" fontId="49" fillId="9" borderId="105" xfId="0" applyNumberFormat="1" applyFont="1" applyFill="1" applyBorder="1" applyAlignment="1" applyProtection="1">
      <alignment horizontal="left" vertical="center" wrapText="1"/>
      <protection locked="0"/>
    </xf>
    <xf numFmtId="0" fontId="49" fillId="9" borderId="104" xfId="0" applyFont="1" applyFill="1" applyBorder="1" applyAlignment="1">
      <alignment horizontal="center" vertical="center" wrapText="1"/>
    </xf>
    <xf numFmtId="9" fontId="49" fillId="9" borderId="105" xfId="0" applyNumberFormat="1" applyFont="1" applyFill="1" applyBorder="1" applyAlignment="1">
      <alignment horizontal="center" vertical="center" wrapText="1"/>
    </xf>
    <xf numFmtId="167" fontId="5" fillId="5" borderId="0" xfId="6" applyNumberFormat="1" applyFont="1" applyFill="1" applyBorder="1" applyAlignment="1" applyProtection="1">
      <alignment vertical="center"/>
    </xf>
    <xf numFmtId="42" fontId="5" fillId="13" borderId="71" xfId="0" applyNumberFormat="1" applyFont="1" applyFill="1" applyBorder="1" applyAlignment="1">
      <alignment horizontal="left" vertical="center" wrapText="1"/>
    </xf>
    <xf numFmtId="49" fontId="5" fillId="13" borderId="71" xfId="0" applyNumberFormat="1" applyFont="1" applyFill="1" applyBorder="1" applyAlignment="1">
      <alignment horizontal="left" vertical="center" wrapText="1"/>
    </xf>
    <xf numFmtId="0" fontId="5" fillId="13" borderId="78" xfId="0" applyFont="1" applyFill="1" applyBorder="1" applyAlignment="1">
      <alignment horizontal="center" vertical="center" wrapText="1"/>
    </xf>
    <xf numFmtId="0" fontId="29" fillId="13" borderId="33" xfId="0" applyFont="1" applyFill="1" applyBorder="1" applyAlignment="1">
      <alignment horizontal="center" vertical="center" wrapText="1"/>
    </xf>
    <xf numFmtId="9" fontId="31" fillId="13" borderId="73" xfId="0" applyNumberFormat="1" applyFont="1" applyFill="1" applyBorder="1" applyAlignment="1">
      <alignment vertical="top" wrapText="1"/>
    </xf>
    <xf numFmtId="0" fontId="60" fillId="0" borderId="0" xfId="0" applyFont="1"/>
    <xf numFmtId="9" fontId="7" fillId="0" borderId="10" xfId="5" applyFont="1" applyFill="1" applyBorder="1" applyAlignment="1" applyProtection="1">
      <alignment vertical="center" wrapText="1"/>
      <protection locked="0"/>
    </xf>
    <xf numFmtId="0" fontId="43" fillId="7" borderId="3" xfId="0" applyFont="1" applyFill="1" applyBorder="1" applyAlignment="1" applyProtection="1">
      <alignment vertical="center" wrapText="1"/>
      <protection locked="0"/>
    </xf>
    <xf numFmtId="0" fontId="7" fillId="7" borderId="3" xfId="0" applyFont="1" applyFill="1" applyBorder="1" applyAlignment="1" applyProtection="1">
      <alignment vertical="center" wrapText="1"/>
      <protection locked="0"/>
    </xf>
    <xf numFmtId="0" fontId="43" fillId="7" borderId="3" xfId="0" applyFont="1" applyFill="1" applyBorder="1" applyAlignment="1">
      <alignment vertical="center" wrapText="1"/>
    </xf>
    <xf numFmtId="0" fontId="28" fillId="9" borderId="16" xfId="0" applyFont="1" applyFill="1" applyBorder="1" applyAlignment="1">
      <alignment vertical="center" wrapText="1"/>
    </xf>
    <xf numFmtId="0" fontId="28" fillId="9" borderId="24" xfId="0" applyFont="1" applyFill="1" applyBorder="1" applyAlignment="1">
      <alignment horizontal="left" vertical="center" wrapText="1"/>
    </xf>
    <xf numFmtId="0" fontId="49" fillId="38" borderId="40" xfId="0" applyFont="1" applyFill="1" applyBorder="1" applyAlignment="1">
      <alignment horizontal="centerContinuous" vertical="center" wrapText="1"/>
    </xf>
    <xf numFmtId="0" fontId="5" fillId="3" borderId="137" xfId="12" applyFont="1" applyFill="1" applyBorder="1" applyAlignment="1" applyProtection="1">
      <alignment horizontal="centerContinuous" vertical="center" wrapText="1"/>
    </xf>
    <xf numFmtId="0" fontId="5" fillId="3" borderId="179" xfId="12" applyFont="1" applyFill="1" applyBorder="1" applyAlignment="1" applyProtection="1">
      <alignment horizontal="centerContinuous" vertical="center" wrapText="1"/>
    </xf>
    <xf numFmtId="0" fontId="5" fillId="3" borderId="180" xfId="12" applyFont="1" applyFill="1" applyBorder="1" applyAlignment="1" applyProtection="1">
      <alignment horizontal="center" vertical="center" wrapText="1"/>
    </xf>
    <xf numFmtId="0" fontId="12" fillId="21" borderId="14" xfId="0" applyFont="1" applyFill="1" applyBorder="1" applyAlignment="1">
      <alignment horizontal="centerContinuous" vertical="center"/>
    </xf>
    <xf numFmtId="0" fontId="0" fillId="21" borderId="56" xfId="0" applyFill="1" applyBorder="1" applyAlignment="1">
      <alignment horizontal="centerContinuous"/>
    </xf>
    <xf numFmtId="0" fontId="49" fillId="38" borderId="58" xfId="0" applyFont="1" applyFill="1" applyBorder="1" applyAlignment="1">
      <alignment horizontal="centerContinuous" vertical="center" wrapText="1"/>
    </xf>
    <xf numFmtId="0" fontId="49" fillId="38" borderId="57" xfId="0" applyFont="1" applyFill="1" applyBorder="1" applyAlignment="1">
      <alignment horizontal="centerContinuous" vertical="center" wrapText="1"/>
    </xf>
    <xf numFmtId="0" fontId="45" fillId="9" borderId="181" xfId="0" applyFont="1" applyFill="1" applyBorder="1" applyAlignment="1">
      <alignment horizontal="center" vertical="center" wrapText="1"/>
    </xf>
    <xf numFmtId="0" fontId="16" fillId="9" borderId="107" xfId="0" applyFont="1" applyFill="1" applyBorder="1" applyAlignment="1">
      <alignment horizontal="left" vertical="center" wrapText="1"/>
    </xf>
    <xf numFmtId="0" fontId="16" fillId="9" borderId="107" xfId="0" applyFont="1" applyFill="1" applyBorder="1" applyAlignment="1">
      <alignment horizontal="center" vertical="center" wrapText="1"/>
    </xf>
    <xf numFmtId="49" fontId="16" fillId="9" borderId="107" xfId="0" applyNumberFormat="1" applyFont="1" applyFill="1" applyBorder="1" applyAlignment="1">
      <alignment horizontal="left" vertical="center" wrapText="1"/>
    </xf>
    <xf numFmtId="0" fontId="12" fillId="21" borderId="14" xfId="0" applyFont="1" applyFill="1" applyBorder="1" applyAlignment="1">
      <alignment horizontal="centerContinuous" vertical="distributed"/>
    </xf>
    <xf numFmtId="0" fontId="0" fillId="21" borderId="56" xfId="0" applyFill="1" applyBorder="1" applyAlignment="1">
      <alignment horizontal="centerContinuous" vertical="distributed"/>
    </xf>
    <xf numFmtId="0" fontId="16" fillId="9" borderId="104" xfId="0" applyFont="1" applyFill="1" applyBorder="1" applyAlignment="1">
      <alignment horizontal="centerContinuous" vertical="distributed" wrapText="1"/>
    </xf>
    <xf numFmtId="49" fontId="16" fillId="9" borderId="107" xfId="0" applyNumberFormat="1" applyFont="1" applyFill="1" applyBorder="1" applyAlignment="1">
      <alignment horizontal="centerContinuous" vertical="distributed" wrapText="1"/>
    </xf>
    <xf numFmtId="0" fontId="12" fillId="21" borderId="74" xfId="0" applyFont="1" applyFill="1" applyBorder="1" applyAlignment="1">
      <alignment horizontal="centerContinuous" vertical="center"/>
    </xf>
    <xf numFmtId="0" fontId="0" fillId="21" borderId="38" xfId="0" applyFill="1" applyBorder="1" applyAlignment="1">
      <alignment horizontal="centerContinuous"/>
    </xf>
    <xf numFmtId="0" fontId="0" fillId="21" borderId="182" xfId="0" applyFill="1" applyBorder="1" applyAlignment="1">
      <alignment horizontal="centerContinuous"/>
    </xf>
    <xf numFmtId="0" fontId="28" fillId="25" borderId="84" xfId="0" applyFont="1" applyFill="1" applyBorder="1" applyAlignment="1">
      <alignment horizontal="center" vertical="center" wrapText="1"/>
    </xf>
    <xf numFmtId="0" fontId="16" fillId="9" borderId="104" xfId="0" applyFont="1" applyFill="1" applyBorder="1" applyAlignment="1">
      <alignment horizontal="left" vertical="center" wrapText="1"/>
    </xf>
    <xf numFmtId="0" fontId="7" fillId="9" borderId="147" xfId="0" applyFont="1" applyFill="1" applyBorder="1" applyAlignment="1">
      <alignment horizontal="left" vertical="center" wrapText="1"/>
    </xf>
    <xf numFmtId="0" fontId="7" fillId="9" borderId="183" xfId="0" applyFont="1" applyFill="1" applyBorder="1" applyAlignment="1">
      <alignment horizontal="left" vertical="center" wrapText="1"/>
    </xf>
    <xf numFmtId="0" fontId="16" fillId="9" borderId="185" xfId="0" applyFont="1" applyFill="1" applyBorder="1" applyAlignment="1">
      <alignment horizontal="left" vertical="center" wrapText="1"/>
    </xf>
    <xf numFmtId="0" fontId="16" fillId="9" borderId="186" xfId="0" applyFont="1" applyFill="1" applyBorder="1" applyAlignment="1">
      <alignment horizontal="left" vertical="center" wrapText="1"/>
    </xf>
    <xf numFmtId="0" fontId="16" fillId="9" borderId="187" xfId="0" applyFont="1" applyFill="1" applyBorder="1" applyAlignment="1">
      <alignment horizontal="left" vertical="center" wrapText="1"/>
    </xf>
    <xf numFmtId="0" fontId="12" fillId="21" borderId="188" xfId="0" applyFont="1" applyFill="1" applyBorder="1" applyAlignment="1">
      <alignment horizontal="centerContinuous" vertical="center"/>
    </xf>
    <xf numFmtId="0" fontId="0" fillId="21" borderId="189" xfId="0" applyFill="1" applyBorder="1" applyAlignment="1">
      <alignment horizontal="centerContinuous"/>
    </xf>
    <xf numFmtId="0" fontId="0" fillId="21" borderId="190" xfId="0" applyFill="1" applyBorder="1" applyAlignment="1">
      <alignment horizontal="centerContinuous"/>
    </xf>
    <xf numFmtId="0" fontId="16" fillId="9" borderId="185" xfId="0" applyFont="1" applyFill="1" applyBorder="1" applyAlignment="1">
      <alignment horizontal="center" vertical="center" wrapText="1"/>
    </xf>
    <xf numFmtId="49" fontId="16" fillId="9" borderId="187" xfId="0" applyNumberFormat="1" applyFont="1" applyFill="1" applyBorder="1" applyAlignment="1">
      <alignment horizontal="left" vertical="center" wrapText="1"/>
    </xf>
    <xf numFmtId="167" fontId="8" fillId="22" borderId="191" xfId="4" applyNumberFormat="1" applyFont="1" applyFill="1" applyBorder="1" applyAlignment="1" applyProtection="1">
      <alignment horizontal="center" vertical="center" wrapText="1"/>
    </xf>
    <xf numFmtId="0" fontId="5" fillId="3" borderId="192" xfId="12" applyFont="1" applyFill="1" applyBorder="1" applyAlignment="1" applyProtection="1">
      <alignment horizontal="center" wrapText="1"/>
    </xf>
    <xf numFmtId="0" fontId="5" fillId="3" borderId="14" xfId="12" applyFont="1" applyFill="1" applyBorder="1" applyAlignment="1" applyProtection="1">
      <alignment horizontal="center" wrapText="1"/>
    </xf>
    <xf numFmtId="0" fontId="17" fillId="0" borderId="6" xfId="0" applyFont="1" applyBorder="1" applyAlignment="1">
      <alignment horizontal="left" vertical="top"/>
    </xf>
    <xf numFmtId="0" fontId="18" fillId="0" borderId="7" xfId="0" applyFont="1" applyBorder="1" applyAlignment="1" applyProtection="1">
      <alignment horizontal="left" vertical="top"/>
      <protection locked="0"/>
    </xf>
    <xf numFmtId="0" fontId="19" fillId="10" borderId="8" xfId="0" applyFont="1" applyFill="1" applyBorder="1" applyAlignment="1">
      <alignment horizontal="centerContinuous" vertical="center"/>
    </xf>
    <xf numFmtId="0" fontId="19" fillId="10" borderId="28" xfId="0" applyFont="1" applyFill="1" applyBorder="1" applyAlignment="1">
      <alignment horizontal="centerContinuous" vertical="center"/>
    </xf>
    <xf numFmtId="173" fontId="5" fillId="3" borderId="111" xfId="12" applyNumberFormat="1" applyFont="1" applyFill="1" applyBorder="1" applyAlignment="1" applyProtection="1">
      <alignment horizontal="center" vertical="top" wrapText="1"/>
    </xf>
    <xf numFmtId="0" fontId="44" fillId="0" borderId="56" xfId="0" applyFont="1" applyBorder="1" applyAlignment="1" applyProtection="1">
      <alignment horizontal="left" vertical="center" wrapText="1"/>
      <protection locked="0"/>
    </xf>
    <xf numFmtId="0" fontId="71" fillId="0" borderId="0" xfId="0" applyFont="1" applyAlignment="1" applyProtection="1">
      <alignment vertical="center" wrapText="1"/>
      <protection locked="0"/>
    </xf>
    <xf numFmtId="0" fontId="71" fillId="0" borderId="56" xfId="0" applyFont="1" applyBorder="1" applyAlignment="1" applyProtection="1">
      <alignment vertical="center" wrapText="1"/>
      <protection locked="0"/>
    </xf>
    <xf numFmtId="0" fontId="44" fillId="0" borderId="14"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44" fillId="0" borderId="30" xfId="0" applyFont="1" applyBorder="1" applyAlignment="1" applyProtection="1">
      <alignment horizontal="center" vertical="center" wrapText="1"/>
      <protection locked="0"/>
    </xf>
    <xf numFmtId="0" fontId="44" fillId="0" borderId="11" xfId="0" applyFont="1" applyBorder="1" applyAlignment="1" applyProtection="1">
      <alignment horizontal="center" vertical="center" wrapText="1"/>
      <protection locked="0"/>
    </xf>
    <xf numFmtId="0" fontId="71" fillId="0" borderId="30" xfId="0" applyFont="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3" fillId="21" borderId="4" xfId="72" applyFill="1" applyBorder="1" applyProtection="1">
      <protection locked="0"/>
    </xf>
    <xf numFmtId="0" fontId="3" fillId="38" borderId="4" xfId="72" applyFill="1" applyBorder="1"/>
    <xf numFmtId="0" fontId="3" fillId="38" borderId="4" xfId="72" applyFill="1" applyBorder="1" applyProtection="1">
      <protection locked="0"/>
    </xf>
    <xf numFmtId="0" fontId="34" fillId="0" borderId="3" xfId="0" applyFont="1" applyBorder="1" applyAlignment="1">
      <alignment horizontal="left" vertical="center" wrapText="1"/>
    </xf>
    <xf numFmtId="0" fontId="34" fillId="0" borderId="194" xfId="0" applyFont="1" applyBorder="1" applyAlignment="1">
      <alignment vertical="center" wrapText="1"/>
    </xf>
    <xf numFmtId="9" fontId="8" fillId="9" borderId="22" xfId="5" applyFont="1" applyFill="1" applyBorder="1" applyAlignment="1" applyProtection="1">
      <alignment vertical="center" wrapText="1"/>
    </xf>
    <xf numFmtId="0" fontId="34" fillId="0" borderId="199" xfId="0" applyFont="1" applyBorder="1" applyAlignment="1">
      <alignment vertical="center" wrapText="1"/>
    </xf>
    <xf numFmtId="9" fontId="7" fillId="9" borderId="203" xfId="5" applyFont="1" applyFill="1" applyBorder="1" applyAlignment="1" applyProtection="1">
      <alignment vertical="center" wrapText="1"/>
    </xf>
    <xf numFmtId="0" fontId="0" fillId="0" borderId="10" xfId="0" applyBorder="1" applyAlignment="1">
      <alignment vertical="center" wrapText="1"/>
    </xf>
    <xf numFmtId="0" fontId="7" fillId="0" borderId="95" xfId="0" applyFont="1" applyBorder="1" applyAlignment="1">
      <alignment vertical="center" wrapText="1"/>
    </xf>
    <xf numFmtId="0" fontId="7" fillId="0" borderId="201" xfId="0" applyFont="1" applyBorder="1" applyAlignment="1">
      <alignment vertical="center" wrapText="1"/>
    </xf>
    <xf numFmtId="3" fontId="8" fillId="0" borderId="15" xfId="0" applyNumberFormat="1" applyFont="1" applyBorder="1" applyAlignment="1">
      <alignment vertical="center" wrapText="1"/>
    </xf>
    <xf numFmtId="0" fontId="34" fillId="0" borderId="150" xfId="0" applyFont="1" applyBorder="1" applyAlignment="1" applyProtection="1">
      <alignment horizontal="center" vertical="center" wrapText="1"/>
      <protection locked="0"/>
    </xf>
    <xf numFmtId="0" fontId="34" fillId="0" borderId="194" xfId="0" applyFont="1" applyBorder="1" applyAlignment="1" applyProtection="1">
      <alignment horizontal="center" vertical="center" wrapText="1"/>
      <protection locked="0"/>
    </xf>
    <xf numFmtId="0" fontId="34" fillId="0" borderId="199" xfId="0" applyFont="1" applyBorder="1" applyAlignment="1" applyProtection="1">
      <alignment horizontal="center" vertical="center" wrapText="1"/>
      <protection locked="0"/>
    </xf>
    <xf numFmtId="3" fontId="7" fillId="0" borderId="95" xfId="0" applyNumberFormat="1" applyFont="1" applyBorder="1" applyAlignment="1">
      <alignment vertical="center" wrapText="1"/>
    </xf>
    <xf numFmtId="3" fontId="7" fillId="0" borderId="201" xfId="0" applyNumberFormat="1" applyFont="1" applyBorder="1" applyAlignment="1">
      <alignment vertical="center" wrapText="1"/>
    </xf>
    <xf numFmtId="0" fontId="34" fillId="0" borderId="206" xfId="0" applyFont="1" applyBorder="1" applyAlignment="1">
      <alignment horizontal="left" vertical="center" wrapText="1"/>
    </xf>
    <xf numFmtId="0" fontId="34" fillId="0" borderId="206" xfId="0" applyFont="1" applyBorder="1" applyAlignment="1">
      <alignment vertical="center" wrapText="1"/>
    </xf>
    <xf numFmtId="9" fontId="8" fillId="9" borderId="209" xfId="5" applyFont="1" applyFill="1" applyBorder="1" applyAlignment="1" applyProtection="1">
      <alignment vertical="center" wrapText="1"/>
    </xf>
    <xf numFmtId="0" fontId="34" fillId="0" borderId="211" xfId="0" applyFont="1" applyBorder="1" applyAlignment="1">
      <alignment horizontal="left" vertical="center" wrapText="1"/>
    </xf>
    <xf numFmtId="0" fontId="34" fillId="0" borderId="211" xfId="0" applyFont="1" applyBorder="1" applyAlignment="1">
      <alignment vertical="center" wrapText="1"/>
    </xf>
    <xf numFmtId="0" fontId="34" fillId="0" borderId="211" xfId="0" applyFont="1" applyBorder="1" applyAlignment="1" applyProtection="1">
      <alignment horizontal="center" vertical="center" wrapText="1"/>
      <protection locked="0"/>
    </xf>
    <xf numFmtId="0" fontId="34" fillId="0" borderId="204" xfId="0" applyFont="1" applyBorder="1" applyAlignment="1">
      <alignment vertical="center" wrapText="1"/>
    </xf>
    <xf numFmtId="0" fontId="7" fillId="0" borderId="212" xfId="0" applyFont="1" applyBorder="1" applyAlignment="1">
      <alignment vertical="center" wrapText="1"/>
    </xf>
    <xf numFmtId="9" fontId="7" fillId="9" borderId="214" xfId="5" applyFont="1" applyFill="1" applyBorder="1" applyAlignment="1" applyProtection="1">
      <alignment vertical="center" wrapText="1"/>
    </xf>
    <xf numFmtId="3" fontId="7" fillId="0" borderId="212" xfId="0" applyNumberFormat="1" applyFont="1" applyBorder="1" applyAlignment="1">
      <alignment vertical="center" wrapText="1"/>
    </xf>
    <xf numFmtId="9" fontId="7" fillId="9" borderId="217" xfId="5" applyFont="1" applyFill="1" applyBorder="1" applyAlignment="1" applyProtection="1">
      <alignment vertical="center" wrapText="1"/>
    </xf>
    <xf numFmtId="3" fontId="7" fillId="0" borderId="215" xfId="0" applyNumberFormat="1" applyFont="1" applyBorder="1" applyAlignment="1" applyProtection="1">
      <alignment vertical="center" wrapText="1"/>
      <protection locked="0"/>
    </xf>
    <xf numFmtId="3" fontId="7" fillId="0" borderId="21" xfId="0" applyNumberFormat="1" applyFont="1" applyBorder="1" applyAlignment="1" applyProtection="1">
      <alignment vertical="center" wrapText="1"/>
      <protection locked="0"/>
    </xf>
    <xf numFmtId="3" fontId="7" fillId="0" borderId="10" xfId="0" applyNumberFormat="1" applyFont="1" applyBorder="1" applyAlignment="1" applyProtection="1">
      <alignment vertical="center" wrapText="1"/>
      <protection locked="0"/>
    </xf>
    <xf numFmtId="0" fontId="7" fillId="8" borderId="11" xfId="0" applyFont="1" applyFill="1" applyBorder="1" applyAlignment="1" applyProtection="1">
      <alignment vertical="center" wrapText="1"/>
      <protection locked="0"/>
    </xf>
    <xf numFmtId="9" fontId="7" fillId="9" borderId="184" xfId="5" applyFont="1" applyFill="1" applyBorder="1" applyAlignment="1" applyProtection="1">
      <alignment vertical="center" wrapText="1"/>
    </xf>
    <xf numFmtId="3" fontId="8" fillId="0" borderId="10" xfId="0" applyNumberFormat="1" applyFont="1" applyBorder="1" applyAlignment="1" applyProtection="1">
      <alignment vertical="center" wrapText="1"/>
      <protection locked="0"/>
    </xf>
    <xf numFmtId="0" fontId="8" fillId="21" borderId="20" xfId="0" applyFont="1" applyFill="1" applyBorder="1" applyAlignment="1">
      <alignment vertical="center"/>
    </xf>
    <xf numFmtId="0" fontId="7" fillId="21" borderId="2" xfId="0" applyFont="1" applyFill="1" applyBorder="1" applyAlignment="1">
      <alignment vertical="center" wrapText="1"/>
    </xf>
    <xf numFmtId="0" fontId="7" fillId="21" borderId="20" xfId="0" applyFont="1" applyFill="1" applyBorder="1" applyAlignment="1">
      <alignment vertical="center" wrapText="1"/>
    </xf>
    <xf numFmtId="9" fontId="8" fillId="21" borderId="25" xfId="5" applyFont="1" applyFill="1" applyBorder="1" applyAlignment="1" applyProtection="1">
      <alignment vertical="center" wrapText="1"/>
    </xf>
    <xf numFmtId="0" fontId="10" fillId="21" borderId="2" xfId="0" applyFont="1" applyFill="1" applyBorder="1" applyAlignment="1">
      <alignment vertical="center" wrapText="1"/>
    </xf>
    <xf numFmtId="9" fontId="8" fillId="21" borderId="16" xfId="5" applyFont="1" applyFill="1" applyBorder="1" applyAlignment="1" applyProtection="1">
      <alignment vertical="center" wrapText="1"/>
      <protection locked="0"/>
    </xf>
    <xf numFmtId="0" fontId="7" fillId="38" borderId="16" xfId="0" applyFont="1" applyFill="1" applyBorder="1" applyAlignment="1">
      <alignment horizontal="left" vertical="center" wrapText="1"/>
    </xf>
    <xf numFmtId="0" fontId="7" fillId="38" borderId="15" xfId="0" applyFont="1" applyFill="1" applyBorder="1" applyAlignment="1" applyProtection="1">
      <alignment vertical="center" wrapText="1"/>
      <protection locked="0"/>
    </xf>
    <xf numFmtId="3" fontId="7" fillId="8" borderId="11" xfId="0" applyNumberFormat="1" applyFont="1" applyFill="1" applyBorder="1" applyAlignment="1" applyProtection="1">
      <alignment vertical="center" wrapText="1"/>
      <protection locked="0"/>
    </xf>
    <xf numFmtId="0" fontId="26" fillId="0" borderId="219" xfId="0" applyFont="1" applyBorder="1" applyAlignment="1">
      <alignment vertical="center" wrapText="1"/>
    </xf>
    <xf numFmtId="0" fontId="26" fillId="0" borderId="221" xfId="0" applyFont="1" applyBorder="1" applyAlignment="1">
      <alignment vertical="center" wrapText="1"/>
    </xf>
    <xf numFmtId="0" fontId="26" fillId="0" borderId="218" xfId="0" applyFont="1" applyBorder="1" applyAlignment="1">
      <alignment vertical="center" wrapText="1"/>
    </xf>
    <xf numFmtId="0" fontId="26" fillId="0" borderId="220" xfId="0" applyFont="1" applyBorder="1" applyAlignment="1">
      <alignment vertical="center" wrapText="1"/>
    </xf>
    <xf numFmtId="0" fontId="25" fillId="0" borderId="196" xfId="0" applyFont="1" applyBorder="1" applyAlignment="1">
      <alignment horizontal="left" vertical="center" wrapText="1"/>
    </xf>
    <xf numFmtId="0" fontId="25" fillId="0" borderId="197" xfId="0" applyFont="1" applyBorder="1" applyAlignment="1">
      <alignment horizontal="left" vertical="center" wrapText="1"/>
    </xf>
    <xf numFmtId="0" fontId="25" fillId="0" borderId="193" xfId="0" applyFont="1" applyBorder="1" applyAlignment="1">
      <alignment horizontal="left" vertical="center" wrapText="1"/>
    </xf>
    <xf numFmtId="0" fontId="25" fillId="0" borderId="198" xfId="0" applyFont="1" applyBorder="1" applyAlignment="1">
      <alignment horizontal="left" vertical="center" wrapText="1"/>
    </xf>
    <xf numFmtId="0" fontId="25" fillId="0" borderId="205" xfId="0" applyFont="1" applyBorder="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pplyProtection="1">
      <alignment horizontal="left" vertical="center" wrapText="1"/>
      <protection locked="0"/>
    </xf>
    <xf numFmtId="3" fontId="34" fillId="0" borderId="0" xfId="0" applyNumberFormat="1" applyFont="1" applyAlignment="1">
      <alignment vertical="center" wrapText="1"/>
    </xf>
    <xf numFmtId="3" fontId="7" fillId="0" borderId="99" xfId="0" applyNumberFormat="1" applyFont="1" applyBorder="1" applyAlignment="1" applyProtection="1">
      <alignment vertical="center" wrapText="1"/>
      <protection locked="0"/>
    </xf>
    <xf numFmtId="3" fontId="7" fillId="8" borderId="97" xfId="0" applyNumberFormat="1" applyFont="1" applyFill="1" applyBorder="1" applyAlignment="1" applyProtection="1">
      <alignment vertical="center" wrapText="1"/>
      <protection locked="0"/>
    </xf>
    <xf numFmtId="3" fontId="7" fillId="8" borderId="5" xfId="0" applyNumberFormat="1" applyFont="1" applyFill="1" applyBorder="1" applyAlignment="1" applyProtection="1">
      <alignment vertical="center" wrapText="1"/>
      <protection locked="0"/>
    </xf>
    <xf numFmtId="0" fontId="7" fillId="7" borderId="97" xfId="0" applyFont="1" applyFill="1" applyBorder="1" applyAlignment="1" applyProtection="1">
      <alignment vertical="center" wrapText="1"/>
      <protection locked="0"/>
    </xf>
    <xf numFmtId="3" fontId="7" fillId="7" borderId="99" xfId="0" applyNumberFormat="1" applyFont="1" applyFill="1" applyBorder="1" applyAlignment="1" applyProtection="1">
      <alignment vertical="center" wrapText="1"/>
      <protection locked="0"/>
    </xf>
    <xf numFmtId="0" fontId="7" fillId="7" borderId="222" xfId="0" applyFont="1" applyFill="1" applyBorder="1" applyAlignment="1" applyProtection="1">
      <alignment vertical="center" wrapText="1"/>
      <protection locked="0"/>
    </xf>
    <xf numFmtId="3" fontId="7" fillId="7" borderId="224" xfId="0" applyNumberFormat="1" applyFont="1" applyFill="1" applyBorder="1" applyAlignment="1" applyProtection="1">
      <alignment vertical="center" wrapText="1"/>
      <protection locked="0"/>
    </xf>
    <xf numFmtId="3" fontId="7" fillId="8" borderId="222" xfId="0" applyNumberFormat="1" applyFont="1" applyFill="1" applyBorder="1" applyAlignment="1" applyProtection="1">
      <alignment vertical="center" wrapText="1"/>
      <protection locked="0"/>
    </xf>
    <xf numFmtId="9" fontId="7" fillId="9" borderId="225" xfId="5" applyFont="1" applyFill="1" applyBorder="1" applyAlignment="1" applyProtection="1">
      <alignment vertical="center" wrapText="1"/>
    </xf>
    <xf numFmtId="0" fontId="40" fillId="7" borderId="226" xfId="0" applyFont="1" applyFill="1" applyBorder="1" applyAlignment="1">
      <alignment horizontal="left" vertical="center" wrapText="1"/>
    </xf>
    <xf numFmtId="0" fontId="43" fillId="7" borderId="226" xfId="0" applyFont="1" applyFill="1" applyBorder="1" applyAlignment="1" applyProtection="1">
      <alignment vertical="center" wrapText="1"/>
      <protection locked="0"/>
    </xf>
    <xf numFmtId="0" fontId="7" fillId="7" borderId="226" xfId="0" applyFont="1" applyFill="1" applyBorder="1" applyAlignment="1" applyProtection="1">
      <alignment vertical="center" wrapText="1"/>
      <protection locked="0"/>
    </xf>
    <xf numFmtId="3" fontId="7" fillId="7" borderId="227" xfId="0" applyNumberFormat="1" applyFont="1" applyFill="1" applyBorder="1" applyAlignment="1">
      <alignment vertical="center" wrapText="1"/>
    </xf>
    <xf numFmtId="3" fontId="7" fillId="7" borderId="228" xfId="0" applyNumberFormat="1" applyFont="1" applyFill="1" applyBorder="1" applyAlignment="1" applyProtection="1">
      <alignment vertical="center" wrapText="1"/>
      <protection locked="0"/>
    </xf>
    <xf numFmtId="3" fontId="7" fillId="8" borderId="226" xfId="0" applyNumberFormat="1" applyFont="1" applyFill="1" applyBorder="1" applyAlignment="1" applyProtection="1">
      <alignment vertical="center" wrapText="1"/>
      <protection locked="0"/>
    </xf>
    <xf numFmtId="9" fontId="7" fillId="9" borderId="229" xfId="5" applyFont="1" applyFill="1" applyBorder="1" applyAlignment="1" applyProtection="1">
      <alignment vertical="center" wrapText="1"/>
    </xf>
    <xf numFmtId="0" fontId="40" fillId="7" borderId="230" xfId="0" applyFont="1" applyFill="1" applyBorder="1" applyAlignment="1">
      <alignment horizontal="left" vertical="center" wrapText="1"/>
    </xf>
    <xf numFmtId="0" fontId="43" fillId="7" borderId="230" xfId="0" applyFont="1" applyFill="1" applyBorder="1" applyAlignment="1" applyProtection="1">
      <alignment vertical="center" wrapText="1"/>
      <protection locked="0"/>
    </xf>
    <xf numFmtId="0" fontId="7" fillId="7" borderId="230" xfId="0" applyFont="1" applyFill="1" applyBorder="1" applyAlignment="1" applyProtection="1">
      <alignment vertical="center" wrapText="1"/>
      <protection locked="0"/>
    </xf>
    <xf numFmtId="3" fontId="7" fillId="7" borderId="231" xfId="0" applyNumberFormat="1" applyFont="1" applyFill="1" applyBorder="1" applyAlignment="1">
      <alignment vertical="center" wrapText="1"/>
    </xf>
    <xf numFmtId="3" fontId="7" fillId="7" borderId="232" xfId="0" applyNumberFormat="1" applyFont="1" applyFill="1" applyBorder="1" applyAlignment="1" applyProtection="1">
      <alignment vertical="center" wrapText="1"/>
      <protection locked="0"/>
    </xf>
    <xf numFmtId="3" fontId="7" fillId="8" borderId="230" xfId="0" applyNumberFormat="1" applyFont="1" applyFill="1" applyBorder="1" applyAlignment="1" applyProtection="1">
      <alignment vertical="center" wrapText="1"/>
      <protection locked="0"/>
    </xf>
    <xf numFmtId="9" fontId="7" fillId="9" borderId="233" xfId="5" applyFont="1" applyFill="1" applyBorder="1" applyAlignment="1" applyProtection="1">
      <alignment vertical="center" wrapText="1"/>
    </xf>
    <xf numFmtId="2" fontId="8" fillId="7" borderId="91" xfId="0" applyNumberFormat="1" applyFont="1" applyFill="1" applyBorder="1" applyAlignment="1">
      <alignment vertical="center" wrapText="1"/>
    </xf>
    <xf numFmtId="0" fontId="7" fillId="7" borderId="97" xfId="0" applyFont="1" applyFill="1" applyBorder="1" applyAlignment="1">
      <alignment vertical="center" wrapText="1"/>
    </xf>
    <xf numFmtId="0" fontId="7" fillId="7" borderId="98" xfId="0" applyFont="1" applyFill="1" applyBorder="1" applyAlignment="1">
      <alignment vertical="center" wrapText="1"/>
    </xf>
    <xf numFmtId="3" fontId="7" fillId="7" borderId="99" xfId="0" applyNumberFormat="1" applyFont="1" applyFill="1" applyBorder="1" applyAlignment="1">
      <alignment vertical="center" wrapText="1"/>
    </xf>
    <xf numFmtId="0" fontId="7" fillId="7" borderId="234" xfId="0" applyFont="1" applyFill="1" applyBorder="1" applyAlignment="1">
      <alignment vertical="center" wrapText="1"/>
    </xf>
    <xf numFmtId="0" fontId="7" fillId="7" borderId="235" xfId="0" applyFont="1" applyFill="1" applyBorder="1" applyAlignment="1">
      <alignment vertical="center" wrapText="1"/>
    </xf>
    <xf numFmtId="3" fontId="7" fillId="7" borderId="236" xfId="0" applyNumberFormat="1" applyFont="1" applyFill="1" applyBorder="1" applyAlignment="1">
      <alignment vertical="center" wrapText="1"/>
    </xf>
    <xf numFmtId="3" fontId="7" fillId="8" borderId="234" xfId="0" applyNumberFormat="1" applyFont="1" applyFill="1" applyBorder="1" applyAlignment="1" applyProtection="1">
      <alignment vertical="center" wrapText="1"/>
      <protection locked="0"/>
    </xf>
    <xf numFmtId="9" fontId="7" fillId="9" borderId="237" xfId="5" applyFont="1" applyFill="1" applyBorder="1" applyAlignment="1" applyProtection="1">
      <alignment vertical="center" wrapText="1"/>
    </xf>
    <xf numFmtId="0" fontId="7" fillId="7" borderId="238" xfId="0" applyFont="1" applyFill="1" applyBorder="1" applyAlignment="1">
      <alignment vertical="center" wrapText="1"/>
    </xf>
    <xf numFmtId="0" fontId="7" fillId="7" borderId="239" xfId="0" applyFont="1" applyFill="1" applyBorder="1" applyAlignment="1">
      <alignment vertical="center" wrapText="1"/>
    </xf>
    <xf numFmtId="3" fontId="7" fillId="7" borderId="240" xfId="0" applyNumberFormat="1" applyFont="1" applyFill="1" applyBorder="1" applyAlignment="1">
      <alignment vertical="center" wrapText="1"/>
    </xf>
    <xf numFmtId="3" fontId="7" fillId="8" borderId="238" xfId="0" applyNumberFormat="1" applyFont="1" applyFill="1" applyBorder="1" applyAlignment="1" applyProtection="1">
      <alignment vertical="center" wrapText="1"/>
      <protection locked="0"/>
    </xf>
    <xf numFmtId="9" fontId="7" fillId="9" borderId="241" xfId="5" applyFont="1" applyFill="1" applyBorder="1" applyAlignment="1" applyProtection="1">
      <alignment vertical="center" wrapText="1"/>
    </xf>
    <xf numFmtId="2" fontId="7" fillId="7" borderId="99" xfId="0" applyNumberFormat="1" applyFont="1" applyFill="1" applyBorder="1" applyAlignment="1">
      <alignment vertical="center" wrapText="1"/>
    </xf>
    <xf numFmtId="2" fontId="7" fillId="7" borderId="236" xfId="0" applyNumberFormat="1" applyFont="1" applyFill="1" applyBorder="1" applyAlignment="1">
      <alignment vertical="center" wrapText="1"/>
    </xf>
    <xf numFmtId="2" fontId="7" fillId="7" borderId="240" xfId="0" applyNumberFormat="1" applyFont="1" applyFill="1" applyBorder="1" applyAlignment="1">
      <alignment vertical="center" wrapText="1"/>
    </xf>
    <xf numFmtId="9" fontId="7" fillId="7" borderId="99" xfId="0" applyNumberFormat="1" applyFont="1" applyFill="1" applyBorder="1" applyAlignment="1">
      <alignment vertical="center" wrapText="1"/>
    </xf>
    <xf numFmtId="9" fontId="7" fillId="7" borderId="236" xfId="0" applyNumberFormat="1" applyFont="1" applyFill="1" applyBorder="1" applyAlignment="1">
      <alignment vertical="center" wrapText="1"/>
    </xf>
    <xf numFmtId="9" fontId="7" fillId="7" borderId="240" xfId="0" applyNumberFormat="1" applyFont="1" applyFill="1" applyBorder="1" applyAlignment="1">
      <alignment vertical="center" wrapText="1"/>
    </xf>
    <xf numFmtId="9" fontId="8" fillId="7" borderId="91" xfId="0" applyNumberFormat="1" applyFont="1" applyFill="1" applyBorder="1" applyAlignment="1">
      <alignment vertical="center" wrapText="1"/>
    </xf>
    <xf numFmtId="9" fontId="7" fillId="8" borderId="97" xfId="0" applyNumberFormat="1" applyFont="1" applyFill="1" applyBorder="1" applyAlignment="1" applyProtection="1">
      <alignment vertical="center" wrapText="1"/>
      <protection locked="0"/>
    </xf>
    <xf numFmtId="9" fontId="7" fillId="8" borderId="234" xfId="0" applyNumberFormat="1" applyFont="1" applyFill="1" applyBorder="1" applyAlignment="1" applyProtection="1">
      <alignment vertical="center" wrapText="1"/>
      <protection locked="0"/>
    </xf>
    <xf numFmtId="9" fontId="7" fillId="8" borderId="238" xfId="0" applyNumberFormat="1" applyFont="1" applyFill="1" applyBorder="1" applyAlignment="1" applyProtection="1">
      <alignment vertical="center" wrapText="1"/>
      <protection locked="0"/>
    </xf>
    <xf numFmtId="9" fontId="8" fillId="8" borderId="89" xfId="0" applyNumberFormat="1" applyFont="1" applyFill="1" applyBorder="1" applyAlignment="1">
      <alignment vertical="center" wrapText="1"/>
    </xf>
    <xf numFmtId="0" fontId="34" fillId="0" borderId="234" xfId="0" applyFont="1" applyBorder="1" applyAlignment="1">
      <alignment horizontal="left" vertical="center" wrapText="1"/>
    </xf>
    <xf numFmtId="3" fontId="8" fillId="8" borderId="234" xfId="0" applyNumberFormat="1" applyFont="1" applyFill="1" applyBorder="1" applyAlignment="1" applyProtection="1">
      <alignment vertical="center" wrapText="1"/>
      <protection locked="0"/>
    </xf>
    <xf numFmtId="9" fontId="8" fillId="9" borderId="237" xfId="5" applyFont="1" applyFill="1" applyBorder="1" applyAlignment="1" applyProtection="1">
      <alignment vertical="center" wrapText="1"/>
    </xf>
    <xf numFmtId="0" fontId="34" fillId="0" borderId="222" xfId="0" applyFont="1" applyBorder="1" applyAlignment="1">
      <alignment horizontal="left" vertical="center" wrapText="1"/>
    </xf>
    <xf numFmtId="3" fontId="8" fillId="8" borderId="222" xfId="0" applyNumberFormat="1" applyFont="1" applyFill="1" applyBorder="1" applyAlignment="1" applyProtection="1">
      <alignment vertical="center" wrapText="1"/>
      <protection locked="0"/>
    </xf>
    <xf numFmtId="9" fontId="8" fillId="9" borderId="225" xfId="5" applyFont="1" applyFill="1" applyBorder="1" applyAlignment="1" applyProtection="1">
      <alignment vertical="center" wrapText="1"/>
    </xf>
    <xf numFmtId="3" fontId="8" fillId="8" borderId="242" xfId="0" applyNumberFormat="1" applyFont="1" applyFill="1" applyBorder="1" applyAlignment="1" applyProtection="1">
      <alignment vertical="center" wrapText="1"/>
      <protection locked="0"/>
    </xf>
    <xf numFmtId="9" fontId="8" fillId="9" borderId="244" xfId="5" applyFont="1" applyFill="1" applyBorder="1" applyAlignment="1" applyProtection="1">
      <alignment vertical="center" wrapText="1"/>
    </xf>
    <xf numFmtId="0" fontId="44" fillId="0" borderId="223" xfId="0" applyFont="1" applyBorder="1" applyAlignment="1">
      <alignment vertical="center" wrapText="1"/>
    </xf>
    <xf numFmtId="3" fontId="8" fillId="8" borderId="11" xfId="0" applyNumberFormat="1" applyFont="1" applyFill="1" applyBorder="1" applyAlignment="1" applyProtection="1">
      <alignment vertical="center" wrapText="1"/>
      <protection locked="0"/>
    </xf>
    <xf numFmtId="3" fontId="8" fillId="8" borderId="4" xfId="0" applyNumberFormat="1" applyFont="1" applyFill="1" applyBorder="1" applyAlignment="1">
      <alignment vertical="center" wrapText="1"/>
    </xf>
    <xf numFmtId="0" fontId="7" fillId="7" borderId="99" xfId="0" applyFont="1" applyFill="1" applyBorder="1" applyAlignment="1" applyProtection="1">
      <alignment vertical="center" wrapText="1"/>
      <protection locked="0"/>
    </xf>
    <xf numFmtId="0" fontId="34" fillId="0" borderId="234" xfId="0" applyFont="1" applyBorder="1" applyAlignment="1">
      <alignment vertical="center" wrapText="1"/>
    </xf>
    <xf numFmtId="0" fontId="40" fillId="7" borderId="234" xfId="0" applyFont="1" applyFill="1" applyBorder="1" applyAlignment="1">
      <alignment horizontal="left" vertical="center" wrapText="1"/>
    </xf>
    <xf numFmtId="0" fontId="7" fillId="7" borderId="234" xfId="0" applyFont="1" applyFill="1" applyBorder="1" applyAlignment="1" applyProtection="1">
      <alignment vertical="center" wrapText="1"/>
      <protection locked="0"/>
    </xf>
    <xf numFmtId="0" fontId="7" fillId="6" borderId="236" xfId="0" applyFont="1" applyFill="1" applyBorder="1" applyAlignment="1" applyProtection="1">
      <alignment vertical="center" wrapText="1"/>
      <protection locked="0"/>
    </xf>
    <xf numFmtId="0" fontId="7" fillId="8" borderId="234" xfId="0" applyFont="1" applyFill="1" applyBorder="1" applyAlignment="1" applyProtection="1">
      <alignment vertical="center" wrapText="1"/>
      <protection locked="0"/>
    </xf>
    <xf numFmtId="0" fontId="34" fillId="0" borderId="222" xfId="0" applyFont="1" applyBorder="1" applyAlignment="1">
      <alignment vertical="center" wrapText="1"/>
    </xf>
    <xf numFmtId="0" fontId="7" fillId="6" borderId="224" xfId="0" applyFont="1" applyFill="1" applyBorder="1" applyAlignment="1" applyProtection="1">
      <alignment vertical="center" wrapText="1"/>
      <protection locked="0"/>
    </xf>
    <xf numFmtId="0" fontId="7" fillId="8" borderId="222" xfId="0" applyFont="1" applyFill="1" applyBorder="1" applyAlignment="1" applyProtection="1">
      <alignment vertical="center" wrapText="1"/>
      <protection locked="0"/>
    </xf>
    <xf numFmtId="0" fontId="34" fillId="0" borderId="246" xfId="0" applyFont="1" applyBorder="1" applyAlignment="1">
      <alignment vertical="center" wrapText="1"/>
    </xf>
    <xf numFmtId="0" fontId="34" fillId="0" borderId="247" xfId="0" applyFont="1" applyBorder="1" applyAlignment="1">
      <alignment vertical="center" wrapText="1"/>
    </xf>
    <xf numFmtId="0" fontId="34" fillId="0" borderId="248" xfId="0" applyFont="1" applyBorder="1" applyAlignment="1">
      <alignment vertical="center" wrapText="1"/>
    </xf>
    <xf numFmtId="3" fontId="7" fillId="7" borderId="236" xfId="0" applyNumberFormat="1" applyFont="1" applyFill="1" applyBorder="1" applyAlignment="1" applyProtection="1">
      <alignment vertical="center" wrapText="1"/>
      <protection locked="0"/>
    </xf>
    <xf numFmtId="3" fontId="7" fillId="0" borderId="236" xfId="0" applyNumberFormat="1" applyFont="1" applyBorder="1" applyAlignment="1" applyProtection="1">
      <alignment vertical="center" wrapText="1"/>
      <protection locked="0"/>
    </xf>
    <xf numFmtId="3" fontId="7" fillId="0" borderId="224" xfId="0" applyNumberFormat="1" applyFont="1" applyBorder="1" applyAlignment="1" applyProtection="1">
      <alignment vertical="center" wrapText="1"/>
      <protection locked="0"/>
    </xf>
    <xf numFmtId="0" fontId="8" fillId="7" borderId="17" xfId="0" applyFont="1" applyFill="1" applyBorder="1" applyAlignment="1">
      <alignment vertical="center" wrapText="1"/>
    </xf>
    <xf numFmtId="0" fontId="8" fillId="7" borderId="15" xfId="0" applyFont="1" applyFill="1" applyBorder="1" applyAlignment="1">
      <alignment vertical="center" wrapText="1"/>
    </xf>
    <xf numFmtId="0" fontId="7" fillId="7" borderId="236" xfId="0" applyFont="1" applyFill="1" applyBorder="1" applyAlignment="1" applyProtection="1">
      <alignment vertical="center" wrapText="1"/>
      <protection locked="0"/>
    </xf>
    <xf numFmtId="0" fontId="7" fillId="7" borderId="223" xfId="0" applyFont="1" applyFill="1" applyBorder="1" applyAlignment="1">
      <alignment vertical="center" wrapText="1"/>
    </xf>
    <xf numFmtId="0" fontId="7" fillId="7" borderId="224" xfId="0" applyFont="1" applyFill="1" applyBorder="1" applyAlignment="1" applyProtection="1">
      <alignment vertical="center" wrapText="1"/>
      <protection locked="0"/>
    </xf>
    <xf numFmtId="0" fontId="34" fillId="0" borderId="250" xfId="0" applyFont="1" applyBorder="1" applyAlignment="1">
      <alignment vertical="center" wrapText="1"/>
    </xf>
    <xf numFmtId="3" fontId="8" fillId="0" borderId="207" xfId="0" applyNumberFormat="1" applyFont="1" applyBorder="1" applyAlignment="1">
      <alignment vertical="center" wrapText="1"/>
    </xf>
    <xf numFmtId="3" fontId="8" fillId="8" borderId="208" xfId="0" applyNumberFormat="1" applyFont="1" applyFill="1" applyBorder="1" applyAlignment="1" applyProtection="1">
      <alignment vertical="center" wrapText="1"/>
      <protection locked="0"/>
    </xf>
    <xf numFmtId="3" fontId="7" fillId="0" borderId="252" xfId="0" applyNumberFormat="1" applyFont="1" applyBorder="1" applyAlignment="1">
      <alignment vertical="center" wrapText="1"/>
    </xf>
    <xf numFmtId="3" fontId="7" fillId="8" borderId="253" xfId="0" applyNumberFormat="1" applyFont="1" applyFill="1" applyBorder="1" applyAlignment="1" applyProtection="1">
      <alignment vertical="center" wrapText="1"/>
      <protection locked="0"/>
    </xf>
    <xf numFmtId="9" fontId="7" fillId="9" borderId="254" xfId="5" applyFont="1" applyFill="1" applyBorder="1" applyAlignment="1" applyProtection="1">
      <alignment vertical="center" wrapText="1"/>
    </xf>
    <xf numFmtId="0" fontId="44" fillId="0" borderId="194" xfId="0" applyFont="1" applyBorder="1" applyAlignment="1">
      <alignment vertical="center" wrapText="1"/>
    </xf>
    <xf numFmtId="0" fontId="43" fillId="0" borderId="194" xfId="0" applyFont="1" applyBorder="1" applyAlignment="1">
      <alignment vertical="center" wrapText="1"/>
    </xf>
    <xf numFmtId="0" fontId="43" fillId="0" borderId="199" xfId="0" applyFont="1" applyBorder="1" applyAlignment="1">
      <alignment vertical="center" wrapText="1"/>
    </xf>
    <xf numFmtId="3" fontId="7" fillId="0" borderId="243" xfId="0" applyNumberFormat="1" applyFont="1" applyBorder="1" applyAlignment="1">
      <alignment vertical="center" wrapText="1"/>
    </xf>
    <xf numFmtId="3" fontId="7" fillId="8" borderId="242" xfId="0" applyNumberFormat="1" applyFont="1" applyFill="1" applyBorder="1" applyAlignment="1" applyProtection="1">
      <alignment vertical="center" wrapText="1"/>
      <protection locked="0"/>
    </xf>
    <xf numFmtId="9" fontId="7" fillId="9" borderId="244" xfId="5" applyFont="1" applyFill="1" applyBorder="1" applyAlignment="1" applyProtection="1">
      <alignment vertical="center" wrapText="1"/>
    </xf>
    <xf numFmtId="3" fontId="26" fillId="0" borderId="255" xfId="0" applyNumberFormat="1" applyFont="1" applyBorder="1" applyAlignment="1">
      <alignment vertical="center" wrapText="1"/>
    </xf>
    <xf numFmtId="0" fontId="12" fillId="0" borderId="256" xfId="0" applyFont="1" applyBorder="1" applyAlignment="1">
      <alignment vertical="center" wrapText="1"/>
    </xf>
    <xf numFmtId="0" fontId="8" fillId="0" borderId="16" xfId="0" applyFont="1" applyBorder="1" applyAlignment="1">
      <alignment vertical="center" wrapText="1"/>
    </xf>
    <xf numFmtId="9" fontId="7" fillId="7" borderId="2" xfId="0" applyNumberFormat="1" applyFont="1" applyFill="1" applyBorder="1" applyAlignment="1">
      <alignment vertical="center" wrapText="1"/>
    </xf>
    <xf numFmtId="9" fontId="7" fillId="7" borderId="16" xfId="0" applyNumberFormat="1" applyFont="1" applyFill="1" applyBorder="1" applyAlignment="1" applyProtection="1">
      <alignment vertical="center" wrapText="1"/>
      <protection locked="0"/>
    </xf>
    <xf numFmtId="9" fontId="7" fillId="8" borderId="4" xfId="0" applyNumberFormat="1" applyFont="1" applyFill="1" applyBorder="1" applyAlignment="1" applyProtection="1">
      <alignment vertical="center" wrapText="1"/>
      <protection locked="0"/>
    </xf>
    <xf numFmtId="9" fontId="7" fillId="9" borderId="24" xfId="5" applyFont="1" applyFill="1" applyBorder="1" applyAlignment="1" applyProtection="1">
      <alignment vertical="center" wrapText="1"/>
    </xf>
    <xf numFmtId="0" fontId="28" fillId="0" borderId="50" xfId="0" applyFont="1" applyBorder="1" applyAlignment="1">
      <alignment horizontal="center" vertical="center" wrapText="1"/>
    </xf>
    <xf numFmtId="9" fontId="8" fillId="0" borderId="45" xfId="1" applyNumberFormat="1" applyFont="1" applyFill="1" applyBorder="1" applyAlignment="1">
      <alignment vertical="center" wrapText="1"/>
    </xf>
    <xf numFmtId="9" fontId="8" fillId="9" borderId="23" xfId="5" applyFont="1" applyFill="1" applyBorder="1" applyAlignment="1" applyProtection="1">
      <alignment vertical="center" wrapText="1"/>
    </xf>
    <xf numFmtId="3" fontId="8" fillId="8" borderId="4" xfId="0" applyNumberFormat="1" applyFont="1" applyFill="1" applyBorder="1" applyAlignment="1" applyProtection="1">
      <alignment vertical="center"/>
      <protection locked="0"/>
    </xf>
    <xf numFmtId="3" fontId="7" fillId="8" borderId="93" xfId="0" applyNumberFormat="1" applyFont="1" applyFill="1" applyBorder="1" applyAlignment="1" applyProtection="1">
      <alignment vertical="center"/>
      <protection locked="0"/>
    </xf>
    <xf numFmtId="3" fontId="7" fillId="8" borderId="202" xfId="0" applyNumberFormat="1" applyFont="1" applyFill="1" applyBorder="1" applyAlignment="1" applyProtection="1">
      <alignment vertical="center"/>
      <protection locked="0"/>
    </xf>
    <xf numFmtId="3" fontId="7" fillId="8" borderId="213" xfId="0" applyNumberFormat="1" applyFont="1" applyFill="1" applyBorder="1" applyAlignment="1" applyProtection="1">
      <alignment vertical="center" wrapText="1"/>
      <protection locked="0"/>
    </xf>
    <xf numFmtId="3" fontId="7" fillId="8" borderId="216" xfId="0" applyNumberFormat="1" applyFont="1" applyFill="1" applyBorder="1" applyAlignment="1" applyProtection="1">
      <alignment vertical="center" wrapText="1"/>
      <protection locked="0"/>
    </xf>
    <xf numFmtId="3" fontId="8" fillId="8" borderId="3" xfId="0" applyNumberFormat="1" applyFont="1" applyFill="1" applyBorder="1" applyAlignment="1">
      <alignment vertical="center" wrapText="1"/>
    </xf>
    <xf numFmtId="0" fontId="24" fillId="21" borderId="58" xfId="12" applyFont="1" applyFill="1" applyBorder="1" applyAlignment="1" applyProtection="1">
      <alignment horizontal="center" vertical="center"/>
    </xf>
    <xf numFmtId="0" fontId="24" fillId="21" borderId="40" xfId="12" applyFont="1" applyFill="1" applyBorder="1" applyAlignment="1" applyProtection="1">
      <alignment horizontal="center" vertical="center"/>
    </xf>
    <xf numFmtId="0" fontId="24" fillId="21" borderId="63" xfId="12" applyFont="1" applyFill="1" applyBorder="1" applyAlignment="1" applyProtection="1">
      <alignment horizontal="center" vertical="center"/>
    </xf>
    <xf numFmtId="169" fontId="8" fillId="38" borderId="40" xfId="4" applyNumberFormat="1" applyFont="1" applyFill="1" applyBorder="1" applyAlignment="1" applyProtection="1">
      <alignment vertical="center" wrapText="1"/>
    </xf>
    <xf numFmtId="0" fontId="8" fillId="38" borderId="63" xfId="0" applyFont="1" applyFill="1" applyBorder="1" applyAlignment="1">
      <alignment vertical="top" wrapText="1"/>
    </xf>
    <xf numFmtId="9" fontId="8" fillId="0" borderId="257" xfId="1" applyNumberFormat="1" applyFont="1" applyFill="1" applyBorder="1" applyAlignment="1">
      <alignment vertical="center" wrapText="1"/>
    </xf>
    <xf numFmtId="9" fontId="28" fillId="0" borderId="135" xfId="0" applyNumberFormat="1" applyFont="1" applyBorder="1" applyAlignment="1">
      <alignment horizontal="center" vertical="center" wrapText="1"/>
    </xf>
    <xf numFmtId="0" fontId="16" fillId="42" borderId="14" xfId="0" applyFont="1" applyFill="1" applyBorder="1" applyAlignment="1" applyProtection="1">
      <alignment horizontal="center" vertical="center"/>
      <protection locked="0"/>
    </xf>
    <xf numFmtId="41" fontId="7" fillId="0" borderId="66" xfId="4" applyNumberFormat="1" applyFont="1" applyFill="1" applyBorder="1" applyAlignment="1" applyProtection="1">
      <alignment horizontal="center" vertical="center" wrapText="1"/>
      <protection locked="0"/>
    </xf>
    <xf numFmtId="41" fontId="7" fillId="0" borderId="112" xfId="4" applyNumberFormat="1" applyFont="1" applyFill="1" applyBorder="1" applyAlignment="1" applyProtection="1">
      <alignment horizontal="center" vertical="center" wrapText="1"/>
      <protection locked="0"/>
    </xf>
    <xf numFmtId="172" fontId="12" fillId="9" borderId="117" xfId="0" applyNumberFormat="1" applyFont="1" applyFill="1" applyBorder="1" applyAlignment="1">
      <alignment horizontal="center" vertical="center" wrapText="1"/>
    </xf>
    <xf numFmtId="49" fontId="16" fillId="42" borderId="0" xfId="0" applyNumberFormat="1" applyFont="1" applyFill="1" applyAlignment="1" applyProtection="1">
      <alignment horizontal="left" vertical="center" wrapText="1"/>
      <protection locked="0"/>
    </xf>
    <xf numFmtId="49" fontId="44" fillId="42" borderId="0" xfId="0" applyNumberFormat="1" applyFont="1" applyFill="1" applyAlignment="1" applyProtection="1">
      <alignment horizontal="left" vertical="center" wrapText="1"/>
      <protection locked="0"/>
    </xf>
    <xf numFmtId="49" fontId="44" fillId="0" borderId="42" xfId="0" applyNumberFormat="1" applyFont="1" applyBorder="1" applyAlignment="1" applyProtection="1">
      <alignment horizontal="left" vertical="center" wrapText="1"/>
      <protection locked="0"/>
    </xf>
    <xf numFmtId="0" fontId="34" fillId="0" borderId="258" xfId="0" applyFont="1" applyBorder="1" applyAlignment="1">
      <alignment vertical="center" wrapText="1"/>
    </xf>
    <xf numFmtId="0" fontId="7" fillId="7" borderId="227" xfId="0" applyFont="1" applyFill="1" applyBorder="1" applyAlignment="1">
      <alignment vertical="center" wrapText="1"/>
    </xf>
    <xf numFmtId="0" fontId="34" fillId="0" borderId="260" xfId="0" applyFont="1" applyBorder="1" applyAlignment="1">
      <alignment vertical="center" wrapText="1"/>
    </xf>
    <xf numFmtId="0" fontId="7" fillId="7" borderId="261" xfId="0" applyFont="1" applyFill="1" applyBorder="1" applyAlignment="1">
      <alignment vertical="center" wrapText="1"/>
    </xf>
    <xf numFmtId="3" fontId="7" fillId="7" borderId="262" xfId="0" applyNumberFormat="1" applyFont="1" applyFill="1" applyBorder="1" applyAlignment="1" applyProtection="1">
      <alignment vertical="center" wrapText="1"/>
      <protection locked="0"/>
    </xf>
    <xf numFmtId="3" fontId="7" fillId="8" borderId="263" xfId="0" applyNumberFormat="1" applyFont="1" applyFill="1" applyBorder="1" applyAlignment="1" applyProtection="1">
      <alignment vertical="center" wrapText="1"/>
      <protection locked="0"/>
    </xf>
    <xf numFmtId="9" fontId="7" fillId="9" borderId="259" xfId="5" applyFont="1" applyFill="1" applyBorder="1" applyAlignment="1" applyProtection="1">
      <alignment vertical="center" wrapText="1"/>
    </xf>
    <xf numFmtId="3" fontId="7" fillId="0" borderId="32" xfId="0" applyNumberFormat="1" applyFont="1" applyBorder="1" applyAlignment="1" applyProtection="1">
      <alignment vertical="center" wrapText="1"/>
      <protection locked="0"/>
    </xf>
    <xf numFmtId="3" fontId="7" fillId="0" borderId="30" xfId="0" applyNumberFormat="1" applyFont="1" applyBorder="1" applyAlignment="1" applyProtection="1">
      <alignment vertical="center" wrapText="1"/>
      <protection locked="0"/>
    </xf>
    <xf numFmtId="41" fontId="34" fillId="42" borderId="108" xfId="4" applyNumberFormat="1" applyFont="1" applyFill="1" applyBorder="1" applyAlignment="1" applyProtection="1">
      <alignment horizontal="center" vertical="center" wrapText="1"/>
    </xf>
    <xf numFmtId="0" fontId="73" fillId="7" borderId="15" xfId="0" applyFont="1" applyFill="1" applyBorder="1" applyAlignment="1">
      <alignment vertical="center" wrapText="1"/>
    </xf>
    <xf numFmtId="0" fontId="72" fillId="7" borderId="265" xfId="0" applyFont="1" applyFill="1" applyBorder="1" applyAlignment="1">
      <alignment vertical="center" wrapText="1"/>
    </xf>
    <xf numFmtId="0" fontId="72" fillId="7" borderId="266" xfId="0" applyFont="1" applyFill="1" applyBorder="1" applyAlignment="1">
      <alignment vertical="center" wrapText="1"/>
    </xf>
    <xf numFmtId="0" fontId="62" fillId="8" borderId="242" xfId="0" applyFont="1" applyFill="1" applyBorder="1" applyAlignment="1" applyProtection="1">
      <alignment vertical="center" wrapText="1"/>
      <protection locked="0"/>
    </xf>
    <xf numFmtId="0" fontId="7" fillId="8" borderId="242" xfId="0" applyFont="1" applyFill="1" applyBorder="1" applyAlignment="1" applyProtection="1">
      <alignment vertical="center" wrapText="1"/>
      <protection locked="0"/>
    </xf>
    <xf numFmtId="0" fontId="7" fillId="7" borderId="243" xfId="0" applyFont="1" applyFill="1" applyBorder="1" applyAlignment="1" applyProtection="1">
      <alignment vertical="center" wrapText="1"/>
      <protection locked="0"/>
    </xf>
    <xf numFmtId="9" fontId="74" fillId="9" borderId="100" xfId="5" applyFont="1" applyFill="1" applyBorder="1" applyAlignment="1" applyProtection="1">
      <alignment vertical="center" wrapText="1"/>
    </xf>
    <xf numFmtId="9" fontId="74" fillId="9" borderId="237" xfId="5" applyFont="1" applyFill="1" applyBorder="1" applyAlignment="1" applyProtection="1">
      <alignment vertical="center" wrapText="1"/>
    </xf>
    <xf numFmtId="9" fontId="74" fillId="9" borderId="241" xfId="5" applyFont="1" applyFill="1" applyBorder="1" applyAlignment="1" applyProtection="1">
      <alignment vertical="center" wrapText="1"/>
    </xf>
    <xf numFmtId="3" fontId="7" fillId="8" borderId="268" xfId="0" applyNumberFormat="1" applyFont="1" applyFill="1" applyBorder="1" applyAlignment="1" applyProtection="1">
      <alignment vertical="center" wrapText="1"/>
      <protection locked="0"/>
    </xf>
    <xf numFmtId="9" fontId="7" fillId="9" borderId="269" xfId="5" applyFont="1" applyFill="1" applyBorder="1" applyAlignment="1" applyProtection="1">
      <alignment vertical="center" wrapText="1"/>
    </xf>
    <xf numFmtId="0" fontId="7" fillId="7" borderId="245" xfId="0" applyFont="1" applyFill="1" applyBorder="1" applyAlignment="1">
      <alignment vertical="center" wrapText="1"/>
    </xf>
    <xf numFmtId="3" fontId="7" fillId="8" borderId="245" xfId="0" applyNumberFormat="1" applyFont="1" applyFill="1" applyBorder="1" applyAlignment="1" applyProtection="1">
      <alignment vertical="center" wrapText="1"/>
      <protection locked="0"/>
    </xf>
    <xf numFmtId="9" fontId="7" fillId="9" borderId="271" xfId="5" applyFont="1" applyFill="1" applyBorder="1" applyAlignment="1" applyProtection="1">
      <alignment vertical="center" wrapText="1"/>
    </xf>
    <xf numFmtId="9" fontId="8" fillId="9" borderId="55" xfId="5" applyFont="1" applyFill="1" applyBorder="1" applyAlignment="1" applyProtection="1">
      <alignment vertical="center" wrapText="1"/>
    </xf>
    <xf numFmtId="9" fontId="7" fillId="0" borderId="16" xfId="0" applyNumberFormat="1" applyFont="1" applyBorder="1" applyAlignment="1" applyProtection="1">
      <alignment vertical="center" wrapText="1"/>
      <protection locked="0"/>
    </xf>
    <xf numFmtId="0" fontId="7" fillId="0" borderId="98" xfId="0" applyFont="1" applyBorder="1" applyAlignment="1">
      <alignment vertical="center" wrapText="1"/>
    </xf>
    <xf numFmtId="3" fontId="7" fillId="0" borderId="99" xfId="0" applyNumberFormat="1" applyFont="1" applyBorder="1" applyAlignment="1">
      <alignment vertical="center" wrapText="1"/>
    </xf>
    <xf numFmtId="9" fontId="7" fillId="0" borderId="100" xfId="5" applyFont="1" applyFill="1" applyBorder="1" applyAlignment="1" applyProtection="1">
      <alignment vertical="center" wrapText="1"/>
    </xf>
    <xf numFmtId="0" fontId="7" fillId="0" borderId="249" xfId="0" applyFont="1" applyBorder="1" applyAlignment="1">
      <alignment vertical="center" wrapText="1"/>
    </xf>
    <xf numFmtId="3" fontId="7" fillId="0" borderId="270" xfId="0" applyNumberFormat="1" applyFont="1" applyBorder="1" applyAlignment="1">
      <alignment vertical="center" wrapText="1"/>
    </xf>
    <xf numFmtId="9" fontId="7" fillId="0" borderId="271" xfId="5" applyFont="1" applyFill="1" applyBorder="1" applyAlignment="1" applyProtection="1">
      <alignment vertical="center" wrapText="1"/>
    </xf>
    <xf numFmtId="0" fontId="34" fillId="0" borderId="2" xfId="0" applyFont="1" applyBorder="1" applyAlignment="1">
      <alignment horizontal="left" vertical="center" wrapText="1"/>
    </xf>
    <xf numFmtId="0" fontId="34" fillId="0" borderId="2" xfId="0" applyFont="1" applyBorder="1" applyAlignment="1" applyProtection="1">
      <alignment horizontal="center" vertical="center" wrapText="1"/>
      <protection locked="0"/>
    </xf>
    <xf numFmtId="0" fontId="7" fillId="0" borderId="223" xfId="0" applyFont="1" applyBorder="1" applyAlignment="1">
      <alignment vertical="center" wrapText="1"/>
    </xf>
    <xf numFmtId="4" fontId="74" fillId="7" borderId="98" xfId="0" applyNumberFormat="1" applyFont="1" applyFill="1" applyBorder="1" applyAlignment="1">
      <alignment vertical="center" wrapText="1"/>
    </xf>
    <xf numFmtId="4" fontId="74" fillId="7" borderId="235" xfId="0" applyNumberFormat="1" applyFont="1" applyFill="1" applyBorder="1" applyAlignment="1">
      <alignment vertical="center" wrapText="1"/>
    </xf>
    <xf numFmtId="4" fontId="74" fillId="7" borderId="239" xfId="0" applyNumberFormat="1" applyFont="1" applyFill="1" applyBorder="1" applyAlignment="1">
      <alignment vertical="center" wrapText="1"/>
    </xf>
    <xf numFmtId="4" fontId="73" fillId="7" borderId="90" xfId="0" applyNumberFormat="1" applyFont="1" applyFill="1" applyBorder="1" applyAlignment="1">
      <alignment vertical="center" wrapText="1"/>
    </xf>
    <xf numFmtId="4" fontId="7" fillId="7" borderId="99" xfId="0" applyNumberFormat="1" applyFont="1" applyFill="1" applyBorder="1" applyAlignment="1">
      <alignment vertical="center" wrapText="1"/>
    </xf>
    <xf numFmtId="4" fontId="7" fillId="8" borderId="97" xfId="0" applyNumberFormat="1" applyFont="1" applyFill="1" applyBorder="1" applyAlignment="1" applyProtection="1">
      <alignment vertical="center" wrapText="1"/>
      <protection locked="0"/>
    </xf>
    <xf numFmtId="4" fontId="7" fillId="7" borderId="236" xfId="0" applyNumberFormat="1" applyFont="1" applyFill="1" applyBorder="1" applyAlignment="1">
      <alignment vertical="center" wrapText="1"/>
    </xf>
    <xf numFmtId="4" fontId="7" fillId="8" borderId="234" xfId="0" applyNumberFormat="1" applyFont="1" applyFill="1" applyBorder="1" applyAlignment="1" applyProtection="1">
      <alignment vertical="center" wrapText="1"/>
      <protection locked="0"/>
    </xf>
    <xf numFmtId="4" fontId="7" fillId="7" borderId="240" xfId="0" applyNumberFormat="1" applyFont="1" applyFill="1" applyBorder="1" applyAlignment="1">
      <alignment vertical="center" wrapText="1"/>
    </xf>
    <xf numFmtId="4" fontId="7" fillId="8" borderId="238" xfId="0" applyNumberFormat="1" applyFont="1" applyFill="1" applyBorder="1" applyAlignment="1" applyProtection="1">
      <alignment vertical="center" wrapText="1"/>
      <protection locked="0"/>
    </xf>
    <xf numFmtId="4" fontId="8" fillId="7" borderId="91" xfId="0" applyNumberFormat="1" applyFont="1" applyFill="1" applyBorder="1" applyAlignment="1">
      <alignment vertical="center" wrapText="1"/>
    </xf>
    <xf numFmtId="4" fontId="8" fillId="8" borderId="89" xfId="0" applyNumberFormat="1" applyFont="1" applyFill="1" applyBorder="1" applyAlignment="1">
      <alignment vertical="center" wrapText="1"/>
    </xf>
    <xf numFmtId="3" fontId="8" fillId="0" borderId="273" xfId="0" applyNumberFormat="1" applyFont="1" applyBorder="1" applyAlignment="1" applyProtection="1">
      <alignment vertical="center" wrapText="1"/>
      <protection locked="0"/>
    </xf>
    <xf numFmtId="3" fontId="8" fillId="0" borderId="267" xfId="0" applyNumberFormat="1" applyFont="1" applyBorder="1" applyAlignment="1" applyProtection="1">
      <alignment vertical="center" wrapText="1"/>
      <protection locked="0"/>
    </xf>
    <xf numFmtId="3" fontId="8" fillId="0" borderId="272" xfId="0" applyNumberFormat="1" applyFont="1" applyBorder="1" applyAlignment="1" applyProtection="1">
      <alignment vertical="center" wrapText="1"/>
      <protection locked="0"/>
    </xf>
    <xf numFmtId="3" fontId="8" fillId="0" borderId="264" xfId="0" applyNumberFormat="1" applyFont="1" applyBorder="1" applyAlignment="1" applyProtection="1">
      <alignment vertical="center" wrapText="1"/>
      <protection locked="0"/>
    </xf>
    <xf numFmtId="0" fontId="8" fillId="0" borderId="161" xfId="0" applyFont="1" applyBorder="1" applyAlignment="1" applyProtection="1">
      <alignment vertical="center" wrapText="1"/>
      <protection locked="0"/>
    </xf>
    <xf numFmtId="0" fontId="8" fillId="0" borderId="235" xfId="0" applyFont="1" applyBorder="1" applyAlignment="1" applyProtection="1">
      <alignment vertical="center" wrapText="1"/>
      <protection locked="0"/>
    </xf>
    <xf numFmtId="3" fontId="8" fillId="0" borderId="224" xfId="0" applyNumberFormat="1" applyFont="1" applyBorder="1" applyAlignment="1" applyProtection="1">
      <alignment vertical="center" wrapText="1"/>
      <protection locked="0"/>
    </xf>
    <xf numFmtId="0" fontId="7" fillId="0" borderId="161" xfId="0" applyFont="1" applyBorder="1" applyAlignment="1" applyProtection="1">
      <alignment vertical="center" wrapText="1"/>
      <protection locked="0"/>
    </xf>
    <xf numFmtId="0" fontId="7" fillId="0" borderId="235" xfId="0" applyFont="1" applyBorder="1" applyAlignment="1" applyProtection="1">
      <alignment vertical="center" wrapText="1"/>
      <protection locked="0"/>
    </xf>
    <xf numFmtId="0" fontId="7" fillId="7" borderId="250" xfId="0" applyFont="1" applyFill="1" applyBorder="1" applyAlignment="1" applyProtection="1">
      <alignment vertical="center" wrapText="1"/>
      <protection locked="0"/>
    </xf>
    <xf numFmtId="0" fontId="7" fillId="7" borderId="265" xfId="0" applyFont="1" applyFill="1" applyBorder="1" applyAlignment="1">
      <alignment vertical="center" wrapText="1"/>
    </xf>
    <xf numFmtId="0" fontId="7" fillId="7" borderId="274" xfId="0" applyFont="1" applyFill="1" applyBorder="1" applyAlignment="1" applyProtection="1">
      <alignment vertical="center" wrapText="1"/>
      <protection locked="0"/>
    </xf>
    <xf numFmtId="0" fontId="62" fillId="7" borderId="242" xfId="0" applyFont="1" applyFill="1" applyBorder="1" applyAlignment="1" applyProtection="1">
      <alignment vertical="center" wrapText="1"/>
      <protection locked="0"/>
    </xf>
    <xf numFmtId="0" fontId="7" fillId="6" borderId="234" xfId="0" applyFont="1" applyFill="1" applyBorder="1" applyAlignment="1" applyProtection="1">
      <alignment vertical="center" wrapText="1"/>
      <protection locked="0"/>
    </xf>
    <xf numFmtId="0" fontId="7" fillId="6" borderId="222" xfId="0" applyFont="1" applyFill="1" applyBorder="1" applyAlignment="1" applyProtection="1">
      <alignment vertical="center" wrapText="1"/>
      <protection locked="0"/>
    </xf>
    <xf numFmtId="0" fontId="7" fillId="0" borderId="244" xfId="0" applyFont="1" applyBorder="1" applyAlignment="1" applyProtection="1">
      <alignment vertical="center" wrapText="1"/>
      <protection locked="0"/>
    </xf>
    <xf numFmtId="0" fontId="7" fillId="0" borderId="237" xfId="0" applyFont="1" applyBorder="1" applyAlignment="1" applyProtection="1">
      <alignment vertical="center" wrapText="1"/>
      <protection locked="0"/>
    </xf>
    <xf numFmtId="3" fontId="7" fillId="0" borderId="225" xfId="0" applyNumberFormat="1" applyFont="1" applyBorder="1" applyAlignment="1" applyProtection="1">
      <alignment vertical="center" wrapText="1"/>
      <protection locked="0"/>
    </xf>
    <xf numFmtId="0" fontId="0" fillId="0" borderId="273" xfId="0" applyBorder="1" applyAlignment="1">
      <alignment vertical="center"/>
    </xf>
    <xf numFmtId="0" fontId="0" fillId="0" borderId="267" xfId="0" applyBorder="1" applyAlignment="1">
      <alignment vertical="center"/>
    </xf>
    <xf numFmtId="0" fontId="43" fillId="7" borderId="226" xfId="0" applyFont="1" applyFill="1" applyBorder="1" applyAlignment="1">
      <alignment vertical="center" wrapText="1"/>
    </xf>
    <xf numFmtId="0" fontId="8" fillId="7" borderId="229" xfId="0" applyFont="1" applyFill="1" applyBorder="1" applyAlignment="1">
      <alignment vertical="center" wrapText="1"/>
    </xf>
    <xf numFmtId="3" fontId="8" fillId="7" borderId="275" xfId="0" applyNumberFormat="1" applyFont="1" applyFill="1" applyBorder="1" applyAlignment="1">
      <alignment vertical="center" wrapText="1"/>
    </xf>
    <xf numFmtId="3" fontId="8" fillId="8" borderId="226" xfId="0" applyNumberFormat="1" applyFont="1" applyFill="1" applyBorder="1" applyAlignment="1">
      <alignment vertical="center" wrapText="1"/>
    </xf>
    <xf numFmtId="9" fontId="8" fillId="9" borderId="229" xfId="5" applyFont="1" applyFill="1" applyBorder="1" applyAlignment="1" applyProtection="1">
      <alignment vertical="center" wrapText="1"/>
    </xf>
    <xf numFmtId="3" fontId="8" fillId="7" borderId="228" xfId="0" applyNumberFormat="1" applyFont="1" applyFill="1" applyBorder="1" applyAlignment="1">
      <alignment vertical="center" wrapText="1"/>
    </xf>
    <xf numFmtId="3" fontId="8" fillId="9" borderId="26" xfId="0" applyNumberFormat="1" applyFont="1" applyFill="1" applyBorder="1" applyAlignment="1">
      <alignment vertical="center" wrapText="1"/>
    </xf>
    <xf numFmtId="3" fontId="8" fillId="9" borderId="17" xfId="0" applyNumberFormat="1" applyFont="1" applyFill="1" applyBorder="1" applyAlignment="1">
      <alignment vertical="center" wrapText="1"/>
    </xf>
    <xf numFmtId="3" fontId="7" fillId="0" borderId="15" xfId="0" applyNumberFormat="1" applyFont="1" applyBorder="1" applyAlignment="1" applyProtection="1">
      <alignment vertical="center" wrapText="1"/>
      <protection locked="0"/>
    </xf>
    <xf numFmtId="3" fontId="7" fillId="0" borderId="276" xfId="0" applyNumberFormat="1" applyFont="1" applyBorder="1" applyAlignment="1" applyProtection="1">
      <alignment vertical="center" wrapText="1"/>
      <protection locked="0"/>
    </xf>
    <xf numFmtId="0" fontId="0" fillId="0" borderId="277" xfId="0" applyBorder="1" applyAlignment="1">
      <alignment vertical="center"/>
    </xf>
    <xf numFmtId="9" fontId="8" fillId="0" borderId="277" xfId="5" applyFont="1" applyFill="1" applyBorder="1" applyAlignment="1" applyProtection="1">
      <alignment vertical="center" wrapText="1"/>
    </xf>
    <xf numFmtId="9" fontId="8" fillId="0" borderId="278" xfId="5" applyFont="1" applyFill="1" applyBorder="1" applyAlignment="1" applyProtection="1">
      <alignment vertical="center" wrapText="1"/>
    </xf>
    <xf numFmtId="0" fontId="7" fillId="0" borderId="5" xfId="0" applyFont="1" applyBorder="1" applyAlignment="1">
      <alignment horizontal="center" vertical="center" wrapText="1"/>
    </xf>
    <xf numFmtId="0" fontId="34" fillId="0" borderId="279" xfId="0" applyFont="1" applyBorder="1" applyAlignment="1">
      <alignment vertical="center" wrapText="1"/>
    </xf>
    <xf numFmtId="3" fontId="8" fillId="34" borderId="89" xfId="0" applyNumberFormat="1" applyFont="1" applyFill="1" applyBorder="1" applyAlignment="1">
      <alignment vertical="center" wrapText="1"/>
    </xf>
    <xf numFmtId="3" fontId="7" fillId="34" borderId="97" xfId="0" applyNumberFormat="1" applyFont="1" applyFill="1" applyBorder="1" applyAlignment="1" applyProtection="1">
      <alignment vertical="center" wrapText="1"/>
      <protection locked="0"/>
    </xf>
    <xf numFmtId="3" fontId="7" fillId="34" borderId="245" xfId="0" applyNumberFormat="1" applyFont="1" applyFill="1" applyBorder="1" applyAlignment="1" applyProtection="1">
      <alignment vertical="center" wrapText="1"/>
      <protection locked="0"/>
    </xf>
    <xf numFmtId="9" fontId="8" fillId="34" borderId="89" xfId="0" applyNumberFormat="1" applyFont="1" applyFill="1" applyBorder="1" applyAlignment="1">
      <alignment vertical="center" wrapText="1"/>
    </xf>
    <xf numFmtId="3" fontId="16" fillId="9" borderId="280" xfId="0" applyNumberFormat="1" applyFont="1" applyFill="1" applyBorder="1" applyAlignment="1">
      <alignment horizontal="center" vertical="center" wrapText="1"/>
    </xf>
    <xf numFmtId="0" fontId="16" fillId="9" borderId="281" xfId="0" applyFont="1" applyFill="1" applyBorder="1" applyAlignment="1">
      <alignment horizontal="center" vertical="center" wrapText="1"/>
    </xf>
    <xf numFmtId="3" fontId="16" fillId="9" borderId="182" xfId="0" applyNumberFormat="1" applyFont="1" applyFill="1" applyBorder="1" applyAlignment="1">
      <alignment horizontal="center" vertical="center" wrapText="1"/>
    </xf>
    <xf numFmtId="0" fontId="16" fillId="9" borderId="74" xfId="0" applyFont="1" applyFill="1" applyBorder="1" applyAlignment="1">
      <alignment horizontal="center" vertical="center" wrapText="1"/>
    </xf>
    <xf numFmtId="0" fontId="8" fillId="38" borderId="64" xfId="4" applyNumberFormat="1" applyFont="1" applyFill="1" applyBorder="1" applyAlignment="1" applyProtection="1">
      <alignment horizontal="center" vertical="center" wrapText="1"/>
    </xf>
    <xf numFmtId="0" fontId="8" fillId="38" borderId="282" xfId="4" applyNumberFormat="1" applyFont="1" applyFill="1" applyBorder="1" applyAlignment="1" applyProtection="1">
      <alignment horizontal="center" vertical="center" wrapText="1"/>
    </xf>
    <xf numFmtId="6" fontId="16" fillId="0" borderId="0" xfId="0" applyNumberFormat="1" applyFont="1" applyAlignment="1" applyProtection="1">
      <alignment horizontal="left" vertical="center" wrapText="1"/>
      <protection locked="0"/>
    </xf>
    <xf numFmtId="0" fontId="76" fillId="9" borderId="181" xfId="0" applyFont="1" applyFill="1" applyBorder="1" applyAlignment="1">
      <alignment horizontal="center" vertical="center" wrapText="1"/>
    </xf>
    <xf numFmtId="0" fontId="78" fillId="0" borderId="4" xfId="0" applyFont="1" applyBorder="1" applyAlignment="1">
      <alignment wrapText="1"/>
    </xf>
    <xf numFmtId="0" fontId="78" fillId="0" borderId="5" xfId="0" applyFont="1" applyBorder="1" applyAlignment="1">
      <alignment wrapText="1"/>
    </xf>
    <xf numFmtId="0" fontId="79" fillId="0" borderId="5" xfId="0" applyFont="1" applyBorder="1" applyAlignment="1">
      <alignment wrapText="1"/>
    </xf>
    <xf numFmtId="0" fontId="79" fillId="0" borderId="16" xfId="0" applyFont="1" applyBorder="1" applyAlignment="1">
      <alignment wrapText="1"/>
    </xf>
    <xf numFmtId="0" fontId="79" fillId="44" borderId="4" xfId="0" applyFont="1" applyFill="1" applyBorder="1"/>
    <xf numFmtId="0" fontId="79" fillId="44" borderId="5" xfId="0" applyFont="1" applyFill="1" applyBorder="1"/>
    <xf numFmtId="0" fontId="79" fillId="0" borderId="5" xfId="0" applyFont="1" applyBorder="1"/>
    <xf numFmtId="0" fontId="78" fillId="44" borderId="5" xfId="0" applyFont="1" applyFill="1" applyBorder="1" applyAlignment="1">
      <alignment wrapText="1"/>
    </xf>
    <xf numFmtId="0" fontId="44" fillId="9" borderId="105" xfId="0" applyFont="1" applyFill="1" applyBorder="1" applyAlignment="1">
      <alignment horizontal="center" vertical="center" wrapText="1"/>
    </xf>
    <xf numFmtId="49" fontId="44" fillId="9" borderId="106" xfId="0" applyNumberFormat="1" applyFont="1" applyFill="1" applyBorder="1" applyAlignment="1">
      <alignment horizontal="left" vertical="center" wrapText="1"/>
    </xf>
    <xf numFmtId="0" fontId="44" fillId="12" borderId="40" xfId="0" applyFont="1" applyFill="1" applyBorder="1" applyAlignment="1" applyProtection="1">
      <alignment vertical="top" wrapText="1"/>
      <protection locked="0"/>
    </xf>
    <xf numFmtId="0" fontId="80" fillId="12" borderId="40" xfId="0" applyFont="1" applyFill="1" applyBorder="1" applyAlignment="1" applyProtection="1">
      <alignment vertical="center" wrapText="1"/>
      <protection locked="0"/>
    </xf>
    <xf numFmtId="49" fontId="26" fillId="21" borderId="38" xfId="12" applyNumberFormat="1" applyFont="1" applyFill="1" applyBorder="1" applyAlignment="1" applyProtection="1">
      <alignment horizontal="centerContinuous" vertical="center" wrapText="1"/>
    </xf>
    <xf numFmtId="49" fontId="26" fillId="21" borderId="45" xfId="12" applyNumberFormat="1" applyFont="1" applyFill="1" applyBorder="1" applyAlignment="1" applyProtection="1">
      <alignment horizontal="centerContinuous" vertical="center" wrapText="1"/>
    </xf>
    <xf numFmtId="9" fontId="12" fillId="0" borderId="60" xfId="5" applyFont="1" applyFill="1" applyBorder="1" applyAlignment="1" applyProtection="1">
      <alignment horizontal="center"/>
    </xf>
    <xf numFmtId="0" fontId="46" fillId="11" borderId="124" xfId="0" applyFont="1" applyFill="1" applyBorder="1" applyAlignment="1" applyProtection="1">
      <alignment horizontal="left" vertical="center" wrapText="1"/>
      <protection locked="0"/>
    </xf>
    <xf numFmtId="9" fontId="12" fillId="0" borderId="163" xfId="5" applyFont="1" applyFill="1" applyBorder="1" applyAlignment="1" applyProtection="1">
      <alignment horizontal="center"/>
    </xf>
    <xf numFmtId="0" fontId="0" fillId="0" borderId="155" xfId="0" applyBorder="1" applyAlignment="1">
      <alignment horizontal="center"/>
    </xf>
    <xf numFmtId="0" fontId="40" fillId="11" borderId="125" xfId="0" applyFont="1" applyFill="1" applyBorder="1" applyAlignment="1" applyProtection="1">
      <alignment horizontal="left" vertical="center" wrapText="1"/>
      <protection locked="0"/>
    </xf>
    <xf numFmtId="0" fontId="40" fillId="11" borderId="126" xfId="0" applyFont="1" applyFill="1" applyBorder="1" applyAlignment="1" applyProtection="1">
      <alignment horizontal="left" vertical="center" wrapText="1"/>
      <protection locked="0"/>
    </xf>
    <xf numFmtId="9" fontId="49" fillId="0" borderId="60" xfId="0" applyNumberFormat="1" applyFont="1" applyBorder="1" applyAlignment="1">
      <alignment horizontal="center" vertical="center" wrapText="1"/>
    </xf>
    <xf numFmtId="9" fontId="49" fillId="0" borderId="46" xfId="0" applyNumberFormat="1" applyFont="1" applyBorder="1" applyAlignment="1">
      <alignment horizontal="center" vertical="center" wrapText="1"/>
    </xf>
    <xf numFmtId="0" fontId="0" fillId="0" borderId="46" xfId="0" applyBorder="1" applyAlignment="1">
      <alignment horizontal="center"/>
    </xf>
    <xf numFmtId="0" fontId="0" fillId="0" borderId="167" xfId="0" applyBorder="1" applyAlignment="1">
      <alignment horizontal="center"/>
    </xf>
    <xf numFmtId="9" fontId="12" fillId="0" borderId="60" xfId="0" applyNumberFormat="1" applyFont="1" applyBorder="1" applyAlignment="1">
      <alignment horizontal="center"/>
    </xf>
    <xf numFmtId="0" fontId="49" fillId="38" borderId="58" xfId="0" applyFont="1" applyFill="1" applyBorder="1" applyAlignment="1">
      <alignment horizontal="center" vertical="center" wrapText="1"/>
    </xf>
    <xf numFmtId="0" fontId="49" fillId="38" borderId="57" xfId="0" applyFont="1" applyFill="1" applyBorder="1" applyAlignment="1">
      <alignment horizontal="center" vertical="center" wrapText="1"/>
    </xf>
    <xf numFmtId="0" fontId="49" fillId="38" borderId="40" xfId="0" applyFont="1" applyFill="1" applyBorder="1" applyAlignment="1">
      <alignment horizontal="center" vertical="center" wrapText="1"/>
    </xf>
    <xf numFmtId="0" fontId="16" fillId="9" borderId="104" xfId="0" applyFont="1" applyFill="1" applyBorder="1" applyAlignment="1">
      <alignment horizontal="center" vertical="distributed" wrapText="1"/>
    </xf>
    <xf numFmtId="49" fontId="16" fillId="9" borderId="107" xfId="0" applyNumberFormat="1" applyFont="1" applyFill="1" applyBorder="1" applyAlignment="1">
      <alignment horizontal="center" vertical="distributed" wrapText="1"/>
    </xf>
    <xf numFmtId="0" fontId="0" fillId="0" borderId="11" xfId="0" applyBorder="1" applyAlignment="1" applyProtection="1">
      <alignment vertical="center" wrapText="1"/>
      <protection locked="0"/>
    </xf>
    <xf numFmtId="0" fontId="7" fillId="7" borderId="11" xfId="0" applyFont="1" applyFill="1" applyBorder="1" applyAlignment="1" applyProtection="1">
      <alignment vertical="center" wrapText="1"/>
      <protection locked="0"/>
    </xf>
    <xf numFmtId="0" fontId="34" fillId="0" borderId="3" xfId="0" applyFont="1" applyBorder="1" applyAlignment="1" applyProtection="1">
      <alignment vertical="center" wrapText="1"/>
      <protection locked="0"/>
    </xf>
    <xf numFmtId="3" fontId="7" fillId="8" borderId="3" xfId="0" applyNumberFormat="1" applyFont="1" applyFill="1" applyBorder="1" applyAlignment="1" applyProtection="1">
      <alignment vertical="center" wrapText="1"/>
      <protection locked="0"/>
    </xf>
    <xf numFmtId="9" fontId="7" fillId="9" borderId="23" xfId="5" applyFont="1" applyFill="1" applyBorder="1" applyAlignment="1" applyProtection="1">
      <alignment vertical="center" wrapText="1"/>
    </xf>
    <xf numFmtId="0" fontId="40" fillId="7" borderId="11" xfId="0" applyFont="1" applyFill="1" applyBorder="1" applyAlignment="1">
      <alignment horizontal="left" vertical="center" wrapText="1"/>
    </xf>
    <xf numFmtId="0" fontId="43" fillId="7" borderId="11" xfId="0" applyFont="1" applyFill="1" applyBorder="1" applyAlignment="1" applyProtection="1">
      <alignment vertical="center" wrapText="1"/>
      <protection locked="0"/>
    </xf>
    <xf numFmtId="3" fontId="7" fillId="7" borderId="0" xfId="0" applyNumberFormat="1" applyFont="1" applyFill="1" applyAlignment="1">
      <alignment vertical="center" wrapText="1"/>
    </xf>
    <xf numFmtId="3" fontId="7" fillId="7" borderId="10" xfId="0" applyNumberFormat="1" applyFont="1" applyFill="1" applyBorder="1" applyAlignment="1" applyProtection="1">
      <alignment vertical="center" wrapText="1"/>
      <protection locked="0"/>
    </xf>
    <xf numFmtId="0" fontId="3" fillId="0" borderId="18" xfId="72" applyBorder="1" applyAlignment="1">
      <alignment horizontal="center" vertical="center"/>
    </xf>
    <xf numFmtId="0" fontId="5" fillId="3" borderId="87" xfId="0" applyFont="1" applyFill="1" applyBorder="1" applyAlignment="1">
      <alignment horizontal="centerContinuous" vertical="top" wrapText="1"/>
    </xf>
    <xf numFmtId="0" fontId="5" fillId="3" borderId="83" xfId="0" applyFont="1" applyFill="1" applyBorder="1" applyAlignment="1">
      <alignment horizontal="centerContinuous" vertical="top" wrapText="1"/>
    </xf>
    <xf numFmtId="0" fontId="5" fillId="3" borderId="84" xfId="0" applyFont="1" applyFill="1" applyBorder="1" applyAlignment="1">
      <alignment horizontal="centerContinuous" vertical="top" wrapText="1"/>
    </xf>
    <xf numFmtId="3" fontId="34" fillId="0" borderId="24" xfId="0" applyNumberFormat="1" applyFont="1" applyBorder="1" applyAlignment="1">
      <alignment vertical="center" wrapText="1"/>
    </xf>
    <xf numFmtId="0" fontId="44" fillId="0" borderId="163" xfId="52" applyFont="1" applyBorder="1" applyAlignment="1" applyProtection="1">
      <alignment wrapText="1"/>
      <protection locked="0"/>
    </xf>
    <xf numFmtId="0" fontId="44" fillId="0" borderId="155" xfId="52" applyFont="1" applyBorder="1" applyAlignment="1" applyProtection="1">
      <alignment wrapText="1"/>
      <protection locked="0"/>
    </xf>
    <xf numFmtId="0" fontId="0" fillId="38" borderId="40" xfId="0" applyFill="1" applyBorder="1" applyAlignment="1">
      <alignment horizontal="centerContinuous" vertical="center" wrapText="1"/>
    </xf>
    <xf numFmtId="0" fontId="44" fillId="0" borderId="163" xfId="52" applyFont="1" applyBorder="1" applyAlignment="1" applyProtection="1">
      <alignment vertical="center" wrapText="1"/>
      <protection locked="0"/>
    </xf>
    <xf numFmtId="0" fontId="44" fillId="0" borderId="0" xfId="0" applyFont="1" applyAlignment="1" applyProtection="1">
      <alignment vertical="center" wrapText="1"/>
      <protection locked="0"/>
    </xf>
    <xf numFmtId="0" fontId="44" fillId="0" borderId="155" xfId="52" applyFont="1" applyBorder="1" applyAlignment="1" applyProtection="1">
      <alignment vertical="center" wrapText="1"/>
      <protection locked="0"/>
    </xf>
    <xf numFmtId="0" fontId="44" fillId="0" borderId="163" xfId="52" applyFont="1" applyBorder="1" applyAlignment="1" applyProtection="1">
      <alignment vertical="top" wrapText="1"/>
      <protection locked="0"/>
    </xf>
    <xf numFmtId="0" fontId="44" fillId="0" borderId="155" xfId="52" applyFont="1" applyBorder="1" applyAlignment="1" applyProtection="1">
      <alignment vertical="top" wrapText="1"/>
      <protection locked="0"/>
    </xf>
    <xf numFmtId="0" fontId="44" fillId="0" borderId="163" xfId="0" applyFont="1" applyBorder="1" applyAlignment="1" applyProtection="1">
      <alignment horizontal="left" vertical="center" wrapText="1"/>
      <protection locked="0"/>
    </xf>
    <xf numFmtId="0" fontId="44" fillId="0" borderId="155" xfId="0" applyFont="1" applyBorder="1" applyAlignment="1" applyProtection="1">
      <alignment horizontal="left" vertical="center" wrapText="1"/>
      <protection locked="0"/>
    </xf>
    <xf numFmtId="0" fontId="44" fillId="0" borderId="167" xfId="0" applyFont="1" applyBorder="1" applyAlignment="1" applyProtection="1">
      <alignment horizontal="left" vertical="center" wrapText="1"/>
      <protection locked="0"/>
    </xf>
    <xf numFmtId="0" fontId="16" fillId="0" borderId="155" xfId="0" applyFont="1" applyBorder="1" applyAlignment="1" applyProtection="1">
      <alignment horizontal="left" vertical="center" wrapText="1"/>
      <protection locked="0"/>
    </xf>
    <xf numFmtId="0" fontId="16" fillId="0" borderId="167" xfId="0" applyFont="1" applyBorder="1" applyAlignment="1" applyProtection="1">
      <alignment horizontal="left" vertical="center" wrapText="1"/>
      <protection locked="0"/>
    </xf>
    <xf numFmtId="0" fontId="0" fillId="12" borderId="40" xfId="0" applyFill="1" applyBorder="1" applyAlignment="1">
      <alignment horizontal="centerContinuous" vertical="center" wrapText="1"/>
    </xf>
    <xf numFmtId="49" fontId="16" fillId="0" borderId="155" xfId="0" applyNumberFormat="1" applyFont="1" applyBorder="1" applyAlignment="1">
      <alignment horizontal="left" vertical="center" wrapText="1"/>
    </xf>
    <xf numFmtId="167" fontId="8" fillId="38" borderId="283" xfId="4" applyNumberFormat="1" applyFont="1" applyFill="1" applyBorder="1" applyAlignment="1" applyProtection="1">
      <alignment horizontal="right" vertical="center" wrapText="1"/>
    </xf>
    <xf numFmtId="167" fontId="28" fillId="21" borderId="284" xfId="12" applyNumberFormat="1" applyFont="1" applyFill="1" applyBorder="1" applyAlignment="1" applyProtection="1">
      <alignment horizontal="right" vertical="center" wrapText="1"/>
    </xf>
    <xf numFmtId="167" fontId="8" fillId="22" borderId="283" xfId="4" applyNumberFormat="1" applyFont="1" applyFill="1" applyBorder="1" applyAlignment="1" applyProtection="1">
      <alignment horizontal="center" vertical="center" wrapText="1"/>
    </xf>
    <xf numFmtId="0" fontId="48" fillId="38" borderId="285" xfId="12" applyFont="1" applyFill="1" applyBorder="1" applyAlignment="1" applyProtection="1">
      <alignment horizontal="center" vertical="center" wrapText="1"/>
    </xf>
    <xf numFmtId="0" fontId="48" fillId="38" borderId="286" xfId="12" applyFont="1" applyFill="1" applyBorder="1" applyAlignment="1" applyProtection="1">
      <alignment horizontal="center" vertical="center" wrapText="1"/>
    </xf>
    <xf numFmtId="0" fontId="48" fillId="38" borderId="287" xfId="12" applyFont="1" applyFill="1" applyBorder="1" applyAlignment="1" applyProtection="1">
      <alignment horizontal="center" vertical="center" wrapText="1"/>
    </xf>
    <xf numFmtId="0" fontId="84" fillId="46" borderId="264" xfId="0" applyFont="1" applyFill="1" applyBorder="1" applyAlignment="1">
      <alignment wrapText="1"/>
    </xf>
    <xf numFmtId="0" fontId="83" fillId="45" borderId="264" xfId="0" applyFont="1" applyFill="1" applyBorder="1" applyAlignment="1">
      <alignment wrapText="1"/>
    </xf>
    <xf numFmtId="0" fontId="25" fillId="48" borderId="264" xfId="0" applyFont="1" applyFill="1" applyBorder="1" applyAlignment="1">
      <alignment wrapText="1"/>
    </xf>
    <xf numFmtId="0" fontId="84" fillId="0" borderId="264" xfId="0" applyFont="1" applyBorder="1" applyAlignment="1">
      <alignment wrapText="1"/>
    </xf>
    <xf numFmtId="0" fontId="46" fillId="48" borderId="264" xfId="0" applyFont="1" applyFill="1" applyBorder="1" applyAlignment="1">
      <alignment wrapText="1"/>
    </xf>
    <xf numFmtId="0" fontId="85" fillId="49" borderId="264" xfId="0" applyFont="1" applyFill="1" applyBorder="1"/>
    <xf numFmtId="0" fontId="83" fillId="50" borderId="264" xfId="0" applyFont="1" applyFill="1" applyBorder="1" applyAlignment="1">
      <alignment wrapText="1"/>
    </xf>
    <xf numFmtId="0" fontId="86" fillId="50" borderId="264" xfId="0" applyFont="1" applyFill="1" applyBorder="1" applyAlignment="1">
      <alignment wrapText="1"/>
    </xf>
    <xf numFmtId="44" fontId="16" fillId="0" borderId="0" xfId="0" applyNumberFormat="1" applyFont="1" applyAlignment="1" applyProtection="1">
      <alignment horizontal="left" vertical="center" wrapText="1"/>
      <protection locked="0"/>
    </xf>
    <xf numFmtId="6" fontId="16" fillId="0" borderId="0" xfId="0" applyNumberFormat="1" applyFont="1" applyAlignment="1" applyProtection="1">
      <alignment horizontal="left" vertical="top"/>
      <protection locked="0"/>
    </xf>
    <xf numFmtId="0" fontId="7" fillId="38" borderId="10" xfId="0" applyFont="1" applyFill="1" applyBorder="1" applyAlignment="1">
      <alignment horizontal="left" vertical="center" wrapText="1"/>
    </xf>
    <xf numFmtId="0" fontId="0" fillId="0" borderId="5" xfId="0" applyBorder="1" applyAlignment="1">
      <alignment vertical="center" wrapText="1"/>
    </xf>
    <xf numFmtId="0" fontId="92" fillId="0" borderId="244" xfId="0" applyFont="1" applyBorder="1" applyAlignment="1" applyProtection="1">
      <alignment vertical="center" wrapText="1"/>
      <protection locked="0"/>
    </xf>
    <xf numFmtId="0" fontId="92" fillId="7" borderId="97" xfId="0" applyFont="1" applyFill="1" applyBorder="1" applyAlignment="1">
      <alignment vertical="center" wrapText="1"/>
    </xf>
    <xf numFmtId="0" fontId="92" fillId="7" borderId="98" xfId="0" applyFont="1" applyFill="1" applyBorder="1" applyAlignment="1">
      <alignment vertical="center" wrapText="1"/>
    </xf>
    <xf numFmtId="0" fontId="92" fillId="7" borderId="234" xfId="0" applyFont="1" applyFill="1" applyBorder="1" applyAlignment="1">
      <alignment vertical="center" wrapText="1"/>
    </xf>
    <xf numFmtId="0" fontId="92" fillId="7" borderId="235" xfId="0" applyFont="1" applyFill="1" applyBorder="1" applyAlignment="1">
      <alignment vertical="center" wrapText="1"/>
    </xf>
    <xf numFmtId="0" fontId="92" fillId="7" borderId="238" xfId="0" applyFont="1" applyFill="1" applyBorder="1" applyAlignment="1">
      <alignment vertical="center" wrapText="1"/>
    </xf>
    <xf numFmtId="0" fontId="92" fillId="7" borderId="239" xfId="0" applyFont="1" applyFill="1" applyBorder="1" applyAlignment="1">
      <alignment vertical="center" wrapText="1"/>
    </xf>
    <xf numFmtId="0" fontId="96" fillId="7" borderId="89" xfId="0" applyFont="1" applyFill="1" applyBorder="1" applyAlignment="1">
      <alignment vertical="center" wrapText="1"/>
    </xf>
    <xf numFmtId="0" fontId="96" fillId="7" borderId="90" xfId="0" applyFont="1" applyFill="1" applyBorder="1" applyAlignment="1">
      <alignment vertical="center" wrapText="1"/>
    </xf>
    <xf numFmtId="9" fontId="92" fillId="7" borderId="99" xfId="0" applyNumberFormat="1" applyFont="1" applyFill="1" applyBorder="1" applyAlignment="1">
      <alignment vertical="center" wrapText="1"/>
    </xf>
    <xf numFmtId="9" fontId="92" fillId="7" borderId="236" xfId="0" applyNumberFormat="1" applyFont="1" applyFill="1" applyBorder="1" applyAlignment="1">
      <alignment vertical="center" wrapText="1"/>
    </xf>
    <xf numFmtId="9" fontId="92" fillId="7" borderId="240" xfId="0" applyNumberFormat="1" applyFont="1" applyFill="1" applyBorder="1" applyAlignment="1">
      <alignment vertical="center" wrapText="1"/>
    </xf>
    <xf numFmtId="9" fontId="96" fillId="7" borderId="91" xfId="0" applyNumberFormat="1" applyFont="1" applyFill="1" applyBorder="1" applyAlignment="1">
      <alignment vertical="center" wrapText="1"/>
    </xf>
    <xf numFmtId="9" fontId="92" fillId="9" borderId="100" xfId="5" applyFont="1" applyFill="1" applyBorder="1" applyAlignment="1" applyProtection="1">
      <alignment vertical="center" wrapText="1"/>
    </xf>
    <xf numFmtId="9" fontId="92" fillId="9" borderId="237" xfId="5" applyFont="1" applyFill="1" applyBorder="1" applyAlignment="1" applyProtection="1">
      <alignment vertical="center" wrapText="1"/>
    </xf>
    <xf numFmtId="9" fontId="92" fillId="9" borderId="241" xfId="5" applyFont="1" applyFill="1" applyBorder="1" applyAlignment="1" applyProtection="1">
      <alignment vertical="center" wrapText="1"/>
    </xf>
    <xf numFmtId="9" fontId="96" fillId="9" borderId="92" xfId="5" applyFont="1" applyFill="1" applyBorder="1" applyAlignment="1" applyProtection="1">
      <alignment vertical="center" wrapText="1"/>
    </xf>
    <xf numFmtId="0" fontId="34" fillId="0" borderId="288" xfId="0" applyFont="1" applyBorder="1" applyAlignment="1">
      <alignment vertical="center" wrapText="1"/>
    </xf>
    <xf numFmtId="0" fontId="7" fillId="7" borderId="249" xfId="0" applyFont="1" applyFill="1" applyBorder="1" applyAlignment="1">
      <alignment vertical="center" wrapText="1"/>
    </xf>
    <xf numFmtId="3" fontId="7" fillId="7" borderId="270" xfId="0" applyNumberFormat="1" applyFont="1" applyFill="1" applyBorder="1" applyAlignment="1" applyProtection="1">
      <alignment vertical="center" wrapText="1"/>
      <protection locked="0"/>
    </xf>
    <xf numFmtId="3" fontId="7" fillId="0" borderId="270" xfId="0" applyNumberFormat="1" applyFont="1" applyBorder="1" applyAlignment="1" applyProtection="1">
      <alignment vertical="center" wrapText="1"/>
      <protection locked="0"/>
    </xf>
    <xf numFmtId="0" fontId="7" fillId="8" borderId="245" xfId="0" applyFont="1" applyFill="1" applyBorder="1" applyAlignment="1" applyProtection="1">
      <alignment vertical="center" wrapText="1"/>
      <protection locked="0"/>
    </xf>
    <xf numFmtId="0" fontId="0" fillId="0" borderId="32" xfId="0" applyBorder="1" applyAlignment="1">
      <alignment horizontal="left" vertical="center" wrapText="1"/>
    </xf>
    <xf numFmtId="0" fontId="8" fillId="7" borderId="10" xfId="0" applyFont="1" applyFill="1" applyBorder="1" applyAlignment="1">
      <alignment vertical="center" wrapText="1"/>
    </xf>
    <xf numFmtId="0" fontId="97" fillId="0" borderId="4" xfId="0" applyFont="1" applyBorder="1" applyAlignment="1">
      <alignment horizontal="left" vertical="center" wrapText="1"/>
    </xf>
    <xf numFmtId="0" fontId="97" fillId="0" borderId="4" xfId="0" applyFont="1" applyBorder="1" applyAlignment="1">
      <alignment vertical="center" wrapText="1"/>
    </xf>
    <xf numFmtId="0" fontId="98" fillId="0" borderId="4" xfId="0" applyFont="1" applyBorder="1" applyAlignment="1">
      <alignment vertical="center" wrapText="1"/>
    </xf>
    <xf numFmtId="0" fontId="99" fillId="0" borderId="4" xfId="0" applyFont="1" applyBorder="1" applyAlignment="1">
      <alignment wrapText="1"/>
    </xf>
    <xf numFmtId="3" fontId="97" fillId="7" borderId="4" xfId="0" applyNumberFormat="1" applyFont="1" applyFill="1" applyBorder="1" applyAlignment="1" applyProtection="1">
      <alignment vertical="center" wrapText="1"/>
      <protection locked="0"/>
    </xf>
    <xf numFmtId="3" fontId="97" fillId="8" borderId="4" xfId="0" applyNumberFormat="1" applyFont="1" applyFill="1" applyBorder="1" applyAlignment="1" applyProtection="1">
      <alignment vertical="center" wrapText="1"/>
      <protection locked="0"/>
    </xf>
    <xf numFmtId="9" fontId="97" fillId="9" borderId="4" xfId="5" applyFont="1" applyFill="1" applyBorder="1" applyAlignment="1" applyProtection="1">
      <alignment vertical="center" wrapText="1"/>
    </xf>
    <xf numFmtId="3" fontId="97" fillId="0" borderId="4" xfId="0" applyNumberFormat="1" applyFont="1" applyBorder="1" applyAlignment="1" applyProtection="1">
      <alignment vertical="center" wrapText="1"/>
      <protection locked="0"/>
    </xf>
    <xf numFmtId="0" fontId="97" fillId="8" borderId="4" xfId="0" applyFont="1" applyFill="1" applyBorder="1" applyAlignment="1" applyProtection="1">
      <alignment vertical="center" wrapText="1"/>
      <protection locked="0"/>
    </xf>
    <xf numFmtId="0" fontId="97" fillId="0" borderId="4" xfId="0" applyFont="1" applyBorder="1" applyAlignment="1">
      <alignment vertical="center"/>
    </xf>
    <xf numFmtId="0" fontId="10" fillId="38" borderId="15" xfId="0" applyFont="1" applyFill="1" applyBorder="1" applyAlignment="1" applyProtection="1">
      <alignment vertical="center" wrapText="1"/>
      <protection locked="0"/>
    </xf>
    <xf numFmtId="0" fontId="44" fillId="0" borderId="0" xfId="0" applyFont="1"/>
    <xf numFmtId="0" fontId="82" fillId="0" borderId="264" xfId="0" applyFont="1" applyBorder="1" applyAlignment="1">
      <alignment wrapText="1"/>
    </xf>
    <xf numFmtId="0" fontId="82" fillId="0" borderId="264" xfId="0" applyFont="1" applyBorder="1"/>
    <xf numFmtId="0" fontId="82" fillId="47" borderId="264" xfId="0" applyFont="1" applyFill="1" applyBorder="1" applyAlignment="1">
      <alignment wrapText="1"/>
    </xf>
    <xf numFmtId="49" fontId="87" fillId="0" borderId="59" xfId="0" applyNumberFormat="1" applyFont="1" applyBorder="1" applyAlignment="1" applyProtection="1">
      <alignment horizontal="left" vertical="center" wrapText="1"/>
      <protection locked="0"/>
    </xf>
    <xf numFmtId="0" fontId="64" fillId="50" borderId="264" xfId="0" applyFont="1" applyFill="1" applyBorder="1" applyAlignment="1">
      <alignment wrapText="1"/>
    </xf>
    <xf numFmtId="0" fontId="102" fillId="0" borderId="242" xfId="0" applyFont="1" applyBorder="1" applyAlignment="1">
      <alignment horizontal="left" vertical="center" wrapText="1"/>
    </xf>
    <xf numFmtId="0" fontId="10" fillId="0" borderId="0" xfId="0" applyFont="1" applyAlignment="1">
      <alignment horizontal="left" vertical="center" wrapText="1"/>
    </xf>
    <xf numFmtId="0" fontId="10" fillId="0" borderId="210" xfId="0" applyFont="1" applyBorder="1" applyAlignment="1">
      <alignment horizontal="left" vertical="center" wrapText="1"/>
    </xf>
    <xf numFmtId="9" fontId="97" fillId="0" borderId="4" xfId="5" applyFont="1" applyBorder="1" applyAlignment="1" applyProtection="1">
      <alignment vertical="center" wrapText="1"/>
      <protection locked="0"/>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17" fillId="0" borderId="6" xfId="0" applyFont="1" applyBorder="1" applyAlignment="1">
      <alignment horizontal="left" vertical="center"/>
    </xf>
    <xf numFmtId="0" fontId="26" fillId="38" borderId="58" xfId="0" applyFont="1" applyFill="1" applyBorder="1" applyAlignment="1">
      <alignment horizontal="centerContinuous" vertical="center" wrapText="1"/>
    </xf>
    <xf numFmtId="0" fontId="26" fillId="38" borderId="40" xfId="0" applyFont="1" applyFill="1" applyBorder="1" applyAlignment="1">
      <alignment horizontal="centerContinuous" vertical="center" wrapText="1"/>
    </xf>
    <xf numFmtId="0" fontId="48" fillId="38" borderId="75" xfId="12" applyFont="1" applyFill="1" applyBorder="1" applyAlignment="1" applyProtection="1">
      <alignment horizontal="centerContinuous" vertical="center" wrapText="1"/>
    </xf>
    <xf numFmtId="0" fontId="48" fillId="38" borderId="41" xfId="12" applyFont="1" applyFill="1" applyBorder="1" applyAlignment="1" applyProtection="1">
      <alignment horizontal="centerContinuous" vertical="center" wrapText="1"/>
    </xf>
    <xf numFmtId="0" fontId="48" fillId="38" borderId="120" xfId="12" applyFont="1" applyFill="1" applyBorder="1" applyAlignment="1" applyProtection="1">
      <alignment horizontal="centerContinuous" vertical="center" wrapText="1"/>
    </xf>
    <xf numFmtId="167" fontId="8" fillId="38" borderId="40" xfId="4" applyNumberFormat="1" applyFont="1" applyFill="1" applyBorder="1" applyAlignment="1" applyProtection="1">
      <alignment horizontal="centerContinuous" vertical="center" wrapText="1"/>
    </xf>
    <xf numFmtId="49" fontId="8" fillId="38" borderId="40" xfId="4" applyNumberFormat="1" applyFont="1" applyFill="1" applyBorder="1" applyAlignment="1" applyProtection="1">
      <alignment horizontal="centerContinuous" vertical="center" wrapText="1"/>
    </xf>
    <xf numFmtId="0" fontId="8" fillId="38" borderId="57" xfId="4" applyNumberFormat="1" applyFont="1" applyFill="1" applyBorder="1" applyAlignment="1" applyProtection="1">
      <alignment horizontal="centerContinuous" vertical="center" wrapText="1"/>
    </xf>
    <xf numFmtId="0" fontId="8" fillId="38" borderId="58" xfId="4" applyNumberFormat="1" applyFont="1" applyFill="1" applyBorder="1" applyAlignment="1" applyProtection="1">
      <alignment horizontal="centerContinuous" vertical="center" wrapText="1"/>
    </xf>
    <xf numFmtId="169" fontId="8" fillId="38" borderId="40" xfId="4" applyNumberFormat="1" applyFont="1" applyFill="1" applyBorder="1" applyAlignment="1" applyProtection="1">
      <alignment horizontal="centerContinuous" vertical="center" wrapText="1"/>
    </xf>
    <xf numFmtId="169" fontId="8" fillId="38" borderId="39" xfId="4" applyNumberFormat="1" applyFont="1" applyFill="1" applyBorder="1" applyAlignment="1" applyProtection="1">
      <alignment horizontal="centerContinuous" vertical="center" wrapText="1"/>
    </xf>
    <xf numFmtId="167" fontId="8" fillId="38" borderId="178" xfId="4" applyNumberFormat="1" applyFont="1" applyFill="1" applyBorder="1" applyAlignment="1" applyProtection="1">
      <alignment horizontal="centerContinuous" vertical="center" wrapText="1"/>
    </xf>
    <xf numFmtId="0" fontId="8" fillId="38" borderId="47" xfId="0" applyFont="1" applyFill="1" applyBorder="1" applyAlignment="1">
      <alignment horizontal="centerContinuous" vertical="center" wrapText="1"/>
    </xf>
    <xf numFmtId="167" fontId="28" fillId="21" borderId="0" xfId="12" applyNumberFormat="1" applyFont="1" applyFill="1" applyBorder="1" applyAlignment="1" applyProtection="1">
      <alignment horizontal="centerContinuous" vertical="center" wrapText="1"/>
    </xf>
    <xf numFmtId="49" fontId="24" fillId="21" borderId="0" xfId="12" applyNumberFormat="1" applyFont="1" applyFill="1" applyBorder="1" applyAlignment="1" applyProtection="1">
      <alignment horizontal="centerContinuous" vertical="center" wrapText="1"/>
    </xf>
    <xf numFmtId="0" fontId="24" fillId="21" borderId="56" xfId="12" applyFont="1" applyFill="1" applyBorder="1" applyAlignment="1" applyProtection="1">
      <alignment horizontal="centerContinuous" vertical="center" wrapText="1"/>
    </xf>
    <xf numFmtId="0" fontId="24" fillId="21" borderId="14" xfId="12" applyFont="1" applyFill="1" applyBorder="1" applyAlignment="1" applyProtection="1">
      <alignment horizontal="centerContinuous" vertical="center" wrapText="1"/>
    </xf>
    <xf numFmtId="0" fontId="24" fillId="21" borderId="0" xfId="12" applyFont="1" applyFill="1" applyBorder="1" applyAlignment="1" applyProtection="1">
      <alignment horizontal="centerContinuous" vertical="center" wrapText="1"/>
    </xf>
    <xf numFmtId="0" fontId="24" fillId="21" borderId="46" xfId="12" applyFont="1" applyFill="1" applyBorder="1" applyAlignment="1" applyProtection="1">
      <alignment horizontal="centerContinuous" vertical="center" wrapText="1"/>
    </xf>
    <xf numFmtId="0" fontId="26" fillId="38" borderId="63" xfId="0" applyFont="1" applyFill="1" applyBorder="1" applyAlignment="1">
      <alignment horizontal="centerContinuous" vertical="center" wrapText="1"/>
    </xf>
    <xf numFmtId="0" fontId="8" fillId="38" borderId="47" xfId="0" applyFont="1" applyFill="1" applyBorder="1" applyAlignment="1">
      <alignment vertical="center" wrapText="1"/>
    </xf>
    <xf numFmtId="3" fontId="5" fillId="5" borderId="175" xfId="6" applyNumberFormat="1" applyFont="1" applyFill="1" applyBorder="1" applyAlignment="1" applyProtection="1">
      <alignment horizontal="center" vertical="center" wrapText="1"/>
    </xf>
    <xf numFmtId="3" fontId="28" fillId="21" borderId="39" xfId="12" applyNumberFormat="1" applyFont="1" applyFill="1" applyBorder="1" applyAlignment="1" applyProtection="1">
      <alignment horizontal="center" vertical="center" wrapText="1"/>
    </xf>
    <xf numFmtId="3" fontId="16" fillId="0" borderId="0" xfId="0" applyNumberFormat="1" applyFont="1" applyAlignment="1" applyProtection="1">
      <alignment horizontal="center" vertical="center" wrapText="1"/>
      <protection locked="0"/>
    </xf>
    <xf numFmtId="3" fontId="49" fillId="9" borderId="105" xfId="0" applyNumberFormat="1" applyFont="1" applyFill="1" applyBorder="1" applyAlignment="1">
      <alignment horizontal="center" vertical="center" wrapText="1"/>
    </xf>
    <xf numFmtId="3" fontId="8" fillId="38" borderId="160" xfId="4" applyNumberFormat="1" applyFont="1" applyFill="1" applyBorder="1" applyAlignment="1" applyProtection="1">
      <alignment horizontal="center" vertical="center" wrapText="1"/>
    </xf>
    <xf numFmtId="3" fontId="28" fillId="21" borderId="165" xfId="12" applyNumberFormat="1" applyFont="1" applyFill="1" applyBorder="1" applyAlignment="1" applyProtection="1">
      <alignment horizontal="center" vertical="center" wrapText="1"/>
    </xf>
    <xf numFmtId="3" fontId="8" fillId="38" borderId="39" xfId="4" applyNumberFormat="1" applyFont="1" applyFill="1" applyBorder="1" applyAlignment="1" applyProtection="1">
      <alignment horizontal="center" vertical="center" wrapText="1"/>
    </xf>
    <xf numFmtId="3" fontId="5" fillId="5" borderId="0" xfId="6" applyNumberFormat="1" applyFont="1" applyFill="1" applyBorder="1" applyAlignment="1" applyProtection="1">
      <alignment horizontal="center" vertical="center"/>
    </xf>
    <xf numFmtId="3" fontId="8" fillId="22" borderId="160" xfId="4" applyNumberFormat="1" applyFont="1" applyFill="1" applyBorder="1" applyAlignment="1" applyProtection="1">
      <alignment horizontal="center" vertical="center" wrapText="1"/>
    </xf>
    <xf numFmtId="3" fontId="77" fillId="0" borderId="5" xfId="0" applyNumberFormat="1" applyFont="1" applyBorder="1" applyAlignment="1">
      <alignment horizontal="center" vertical="center"/>
    </xf>
    <xf numFmtId="3" fontId="77" fillId="43" borderId="5" xfId="0" applyNumberFormat="1" applyFont="1" applyFill="1" applyBorder="1" applyAlignment="1">
      <alignment horizontal="center" vertical="center"/>
    </xf>
    <xf numFmtId="3" fontId="5" fillId="13" borderId="71" xfId="0" applyNumberFormat="1" applyFont="1" applyFill="1" applyBorder="1" applyAlignment="1">
      <alignment horizontal="center" vertical="center" wrapText="1"/>
    </xf>
    <xf numFmtId="43" fontId="45" fillId="9" borderId="110" xfId="0" applyNumberFormat="1" applyFont="1" applyFill="1" applyBorder="1" applyAlignment="1">
      <alignment horizontal="center" vertical="center" wrapText="1"/>
    </xf>
    <xf numFmtId="43" fontId="44" fillId="0" borderId="48" xfId="0" applyNumberFormat="1" applyFont="1" applyBorder="1" applyAlignment="1" applyProtection="1">
      <alignment vertical="center" wrapText="1"/>
      <protection locked="0"/>
    </xf>
    <xf numFmtId="43" fontId="44" fillId="0" borderId="60" xfId="52" applyNumberFormat="1" applyFont="1" applyBorder="1" applyAlignment="1" applyProtection="1">
      <alignment vertical="top" wrapText="1"/>
      <protection locked="0"/>
    </xf>
    <xf numFmtId="43" fontId="16" fillId="0" borderId="0" xfId="0" applyNumberFormat="1" applyFont="1" applyAlignment="1" applyProtection="1">
      <alignment vertical="top" wrapText="1"/>
      <protection locked="0"/>
    </xf>
    <xf numFmtId="43" fontId="16" fillId="0" borderId="59" xfId="0" applyNumberFormat="1" applyFont="1" applyBorder="1" applyAlignment="1" applyProtection="1">
      <alignment vertical="top" wrapText="1"/>
      <protection locked="0"/>
    </xf>
    <xf numFmtId="43" fontId="16" fillId="0" borderId="0" xfId="0" applyNumberFormat="1" applyFont="1" applyAlignment="1" applyProtection="1">
      <alignment horizontal="left" vertical="center" wrapText="1"/>
      <protection locked="0"/>
    </xf>
    <xf numFmtId="43" fontId="34" fillId="0" borderId="108" xfId="4" applyNumberFormat="1" applyFont="1" applyFill="1" applyBorder="1" applyAlignment="1" applyProtection="1">
      <alignment horizontal="center" vertical="center" wrapText="1"/>
    </xf>
    <xf numFmtId="43" fontId="34" fillId="0" borderId="60" xfId="4" applyNumberFormat="1" applyFont="1" applyFill="1" applyBorder="1" applyAlignment="1" applyProtection="1">
      <alignment horizontal="center" vertical="center" wrapText="1"/>
      <protection locked="0"/>
    </xf>
    <xf numFmtId="43" fontId="44" fillId="0" borderId="0" xfId="0" applyNumberFormat="1" applyFont="1" applyAlignment="1" applyProtection="1">
      <alignment horizontal="left" vertical="center" wrapText="1"/>
      <protection locked="0"/>
    </xf>
    <xf numFmtId="43" fontId="16" fillId="0" borderId="14" xfId="0" applyNumberFormat="1" applyFont="1" applyBorder="1" applyAlignment="1" applyProtection="1">
      <alignment horizontal="center" vertical="center"/>
      <protection locked="0"/>
    </xf>
    <xf numFmtId="43" fontId="16" fillId="0" borderId="0" xfId="5" applyNumberFormat="1" applyFont="1" applyFill="1" applyBorder="1" applyAlignment="1" applyProtection="1">
      <alignment horizontal="center" vertical="center"/>
    </xf>
    <xf numFmtId="43" fontId="34" fillId="0" borderId="112" xfId="4" applyNumberFormat="1" applyFont="1" applyFill="1" applyBorder="1" applyAlignment="1" applyProtection="1">
      <alignment horizontal="center" vertical="center" wrapText="1"/>
      <protection locked="0"/>
    </xf>
    <xf numFmtId="43" fontId="7" fillId="0" borderId="66" xfId="4" applyNumberFormat="1" applyFont="1" applyFill="1" applyBorder="1" applyAlignment="1" applyProtection="1">
      <alignment horizontal="center" vertical="top" wrapText="1"/>
      <protection locked="0"/>
    </xf>
    <xf numFmtId="43" fontId="44" fillId="0" borderId="59" xfId="0" applyNumberFormat="1" applyFont="1" applyBorder="1" applyAlignment="1" applyProtection="1">
      <alignment vertical="center" wrapText="1"/>
      <protection locked="0"/>
    </xf>
    <xf numFmtId="43" fontId="44" fillId="0" borderId="46" xfId="52" applyNumberFormat="1" applyFont="1" applyBorder="1" applyAlignment="1" applyProtection="1">
      <alignment vertical="top" wrapText="1"/>
      <protection locked="0"/>
    </xf>
    <xf numFmtId="43" fontId="34" fillId="0" borderId="46" xfId="4" applyNumberFormat="1" applyFont="1" applyFill="1" applyBorder="1" applyAlignment="1" applyProtection="1">
      <alignment horizontal="center" vertical="center" wrapText="1"/>
      <protection locked="0"/>
    </xf>
    <xf numFmtId="43" fontId="44" fillId="0" borderId="136" xfId="52" applyNumberFormat="1" applyFont="1" applyBorder="1" applyAlignment="1" applyProtection="1">
      <alignment vertical="top" wrapText="1"/>
      <protection locked="0"/>
    </xf>
    <xf numFmtId="43" fontId="34" fillId="0" borderId="136" xfId="4" applyNumberFormat="1" applyFont="1" applyFill="1" applyBorder="1" applyAlignment="1" applyProtection="1">
      <alignment horizontal="center" vertical="center" wrapText="1"/>
      <protection locked="0"/>
    </xf>
    <xf numFmtId="43" fontId="16" fillId="9" borderId="105" xfId="0" applyNumberFormat="1" applyFont="1" applyFill="1" applyBorder="1" applyAlignment="1">
      <alignment horizontal="center" vertical="center" wrapText="1"/>
    </xf>
    <xf numFmtId="43" fontId="16" fillId="9" borderId="106" xfId="0" applyNumberFormat="1" applyFont="1" applyFill="1" applyBorder="1" applyAlignment="1">
      <alignment horizontal="left" vertical="center" wrapText="1"/>
    </xf>
    <xf numFmtId="43" fontId="16" fillId="9" borderId="105" xfId="0" applyNumberFormat="1" applyFont="1" applyFill="1" applyBorder="1" applyAlignment="1">
      <alignment horizontal="left" vertical="center" wrapText="1"/>
    </xf>
    <xf numFmtId="43" fontId="49" fillId="9" borderId="105" xfId="0" applyNumberFormat="1" applyFont="1" applyFill="1" applyBorder="1" applyAlignment="1">
      <alignment horizontal="right" vertical="center" wrapText="1"/>
    </xf>
    <xf numFmtId="43" fontId="49" fillId="9" borderId="118" xfId="0" applyNumberFormat="1" applyFont="1" applyFill="1" applyBorder="1" applyAlignment="1">
      <alignment horizontal="right" vertical="center" wrapText="1"/>
    </xf>
    <xf numFmtId="43" fontId="49" fillId="9" borderId="105" xfId="0" applyNumberFormat="1" applyFont="1" applyFill="1" applyBorder="1" applyAlignment="1">
      <alignment horizontal="center" vertical="center" wrapText="1"/>
    </xf>
    <xf numFmtId="43" fontId="16" fillId="9" borderId="105" xfId="0" applyNumberFormat="1" applyFont="1" applyFill="1" applyBorder="1" applyAlignment="1" applyProtection="1">
      <alignment horizontal="left" vertical="center" wrapText="1"/>
      <protection locked="0"/>
    </xf>
    <xf numFmtId="43" fontId="16" fillId="9" borderId="107" xfId="0" applyNumberFormat="1" applyFont="1" applyFill="1" applyBorder="1" applyAlignment="1">
      <alignment horizontal="center" vertical="center" wrapText="1"/>
    </xf>
    <xf numFmtId="43" fontId="16" fillId="9" borderId="104" xfId="0" applyNumberFormat="1" applyFont="1" applyFill="1" applyBorder="1" applyAlignment="1">
      <alignment horizontal="center" vertical="center" wrapText="1"/>
    </xf>
    <xf numFmtId="43" fontId="49" fillId="9" borderId="117" xfId="0" applyNumberFormat="1" applyFont="1" applyFill="1" applyBorder="1" applyAlignment="1">
      <alignment horizontal="center" vertical="center" wrapText="1"/>
    </xf>
    <xf numFmtId="43" fontId="12" fillId="9" borderId="119" xfId="0" applyNumberFormat="1" applyFont="1" applyFill="1" applyBorder="1" applyAlignment="1">
      <alignment horizontal="center" vertical="center" wrapText="1"/>
    </xf>
    <xf numFmtId="43" fontId="49" fillId="9" borderId="153" xfId="0" applyNumberFormat="1" applyFont="1" applyFill="1" applyBorder="1" applyAlignment="1">
      <alignment horizontal="center" vertical="center" wrapText="1"/>
    </xf>
    <xf numFmtId="43" fontId="28" fillId="21" borderId="74" xfId="12" applyNumberFormat="1" applyFont="1" applyFill="1" applyBorder="1" applyAlignment="1" applyProtection="1">
      <alignment horizontal="centerContinuous" vertical="center" wrapText="1"/>
    </xf>
    <xf numFmtId="43" fontId="60" fillId="21" borderId="38" xfId="0" applyNumberFormat="1" applyFont="1" applyFill="1" applyBorder="1" applyAlignment="1">
      <alignment horizontal="centerContinuous" vertical="center" wrapText="1"/>
    </xf>
    <xf numFmtId="43" fontId="60" fillId="21" borderId="45" xfId="0" applyNumberFormat="1" applyFont="1" applyFill="1" applyBorder="1" applyAlignment="1">
      <alignment horizontal="centerContinuous" vertical="center" wrapText="1"/>
    </xf>
    <xf numFmtId="43" fontId="28" fillId="21" borderId="165" xfId="12" applyNumberFormat="1" applyFont="1" applyFill="1" applyBorder="1" applyAlignment="1" applyProtection="1">
      <alignment horizontal="right" vertical="center" wrapText="1"/>
    </xf>
    <xf numFmtId="43" fontId="28" fillId="21" borderId="166" xfId="12" applyNumberFormat="1" applyFont="1" applyFill="1" applyBorder="1" applyAlignment="1" applyProtection="1">
      <alignment horizontal="right" vertical="center" wrapText="1"/>
    </xf>
    <xf numFmtId="43" fontId="28" fillId="21" borderId="63" xfId="12" applyNumberFormat="1" applyFont="1" applyFill="1" applyBorder="1" applyAlignment="1" applyProtection="1">
      <alignment horizontal="right" vertical="center" wrapText="1"/>
    </xf>
    <xf numFmtId="43" fontId="28" fillId="21" borderId="0" xfId="12" applyNumberFormat="1" applyFont="1" applyFill="1" applyBorder="1" applyAlignment="1" applyProtection="1">
      <alignment horizontal="center" vertical="center" wrapText="1"/>
    </xf>
    <xf numFmtId="43" fontId="24" fillId="21" borderId="0" xfId="12" applyNumberFormat="1" applyFont="1" applyFill="1" applyBorder="1" applyAlignment="1" applyProtection="1">
      <alignment horizontal="left" vertical="center"/>
    </xf>
    <xf numFmtId="43" fontId="24" fillId="21" borderId="56" xfId="12" applyNumberFormat="1" applyFont="1" applyFill="1" applyBorder="1" applyAlignment="1" applyProtection="1">
      <alignment horizontal="center" vertical="center"/>
    </xf>
    <xf numFmtId="43" fontId="24" fillId="21" borderId="14" xfId="12" applyNumberFormat="1" applyFont="1" applyFill="1" applyBorder="1" applyAlignment="1" applyProtection="1">
      <alignment horizontal="center" vertical="center"/>
    </xf>
    <xf numFmtId="43" fontId="24" fillId="21" borderId="0" xfId="12" applyNumberFormat="1" applyFont="1" applyFill="1" applyBorder="1" applyAlignment="1" applyProtection="1">
      <alignment horizontal="center" vertical="center"/>
    </xf>
    <xf numFmtId="43" fontId="24" fillId="21" borderId="46" xfId="12" applyNumberFormat="1" applyFont="1" applyFill="1" applyBorder="1" applyAlignment="1" applyProtection="1">
      <alignment horizontal="center" vertical="center"/>
    </xf>
    <xf numFmtId="43" fontId="28" fillId="21" borderId="112" xfId="12" applyNumberFormat="1" applyFont="1" applyFill="1" applyBorder="1" applyAlignment="1" applyProtection="1">
      <alignment horizontal="center" vertical="center" wrapText="1"/>
    </xf>
    <xf numFmtId="43" fontId="28" fillId="21" borderId="68" xfId="12" applyNumberFormat="1" applyFont="1" applyFill="1" applyBorder="1" applyAlignment="1" applyProtection="1">
      <alignment horizontal="center" vertical="center" wrapText="1"/>
    </xf>
    <xf numFmtId="43" fontId="26" fillId="38" borderId="149" xfId="0" applyNumberFormat="1" applyFont="1" applyFill="1" applyBorder="1" applyAlignment="1">
      <alignment horizontal="centerContinuous" vertical="center" wrapText="1"/>
    </xf>
    <xf numFmtId="43" fontId="16" fillId="38" borderId="40" xfId="0" applyNumberFormat="1" applyFont="1" applyFill="1" applyBorder="1" applyAlignment="1">
      <alignment horizontal="centerContinuous" vertical="center" wrapText="1"/>
    </xf>
    <xf numFmtId="43" fontId="0" fillId="38" borderId="63" xfId="0" applyNumberFormat="1" applyFill="1" applyBorder="1" applyAlignment="1">
      <alignment horizontal="centerContinuous" vertical="center" wrapText="1"/>
    </xf>
    <xf numFmtId="43" fontId="48" fillId="38" borderId="75" xfId="12" applyNumberFormat="1" applyFont="1" applyFill="1" applyBorder="1" applyAlignment="1" applyProtection="1">
      <alignment horizontal="center" vertical="center" wrapText="1"/>
    </xf>
    <xf numFmtId="43" fontId="48" fillId="38" borderId="41" xfId="12" applyNumberFormat="1" applyFont="1" applyFill="1" applyBorder="1" applyAlignment="1" applyProtection="1">
      <alignment horizontal="center" vertical="center" wrapText="1"/>
    </xf>
    <xf numFmtId="43" fontId="48" fillId="38" borderId="120" xfId="12" applyNumberFormat="1" applyFont="1" applyFill="1" applyBorder="1" applyAlignment="1" applyProtection="1">
      <alignment horizontal="center" vertical="center" wrapText="1"/>
    </xf>
    <xf numFmtId="43" fontId="8" fillId="38" borderId="160" xfId="4" applyNumberFormat="1" applyFont="1" applyFill="1" applyBorder="1" applyAlignment="1" applyProtection="1">
      <alignment horizontal="right" vertical="center" wrapText="1"/>
    </xf>
    <xf numFmtId="43" fontId="8" fillId="38" borderId="63" xfId="4" applyNumberFormat="1" applyFont="1" applyFill="1" applyBorder="1" applyAlignment="1" applyProtection="1">
      <alignment horizontal="right" vertical="center" wrapText="1"/>
    </xf>
    <xf numFmtId="43" fontId="8" fillId="38" borderId="49" xfId="4" applyNumberFormat="1" applyFont="1" applyFill="1" applyBorder="1" applyAlignment="1" applyProtection="1">
      <alignment horizontal="right" vertical="center" wrapText="1"/>
    </xf>
    <xf numFmtId="43" fontId="8" fillId="38" borderId="40" xfId="4" applyNumberFormat="1" applyFont="1" applyFill="1" applyBorder="1" applyAlignment="1" applyProtection="1">
      <alignment horizontal="center" vertical="center" wrapText="1"/>
    </xf>
    <xf numFmtId="43" fontId="8" fillId="38" borderId="40" xfId="4" applyNumberFormat="1" applyFont="1" applyFill="1" applyBorder="1" applyAlignment="1" applyProtection="1">
      <alignment horizontal="left" vertical="center" wrapText="1"/>
    </xf>
    <xf numFmtId="43" fontId="8" fillId="38" borderId="57" xfId="4" applyNumberFormat="1" applyFont="1" applyFill="1" applyBorder="1" applyAlignment="1" applyProtection="1">
      <alignment horizontal="center" vertical="center" wrapText="1"/>
    </xf>
    <xf numFmtId="43" fontId="8" fillId="38" borderId="58" xfId="4" applyNumberFormat="1" applyFont="1" applyFill="1" applyBorder="1" applyAlignment="1" applyProtection="1">
      <alignment horizontal="center" vertical="center" wrapText="1"/>
    </xf>
    <xf numFmtId="43" fontId="8" fillId="38" borderId="39" xfId="4" applyNumberFormat="1" applyFont="1" applyFill="1" applyBorder="1" applyAlignment="1" applyProtection="1">
      <alignment vertical="center" wrapText="1"/>
    </xf>
    <xf numFmtId="43" fontId="8" fillId="38" borderId="47" xfId="0" applyNumberFormat="1" applyFont="1" applyFill="1" applyBorder="1" applyAlignment="1">
      <alignment vertical="top" wrapText="1"/>
    </xf>
    <xf numFmtId="43" fontId="8" fillId="38" borderId="116" xfId="4" applyNumberFormat="1" applyFont="1" applyFill="1" applyBorder="1" applyAlignment="1" applyProtection="1">
      <alignment horizontal="center" vertical="center" wrapText="1"/>
    </xf>
    <xf numFmtId="43" fontId="8" fillId="38" borderId="65" xfId="4" applyNumberFormat="1" applyFont="1" applyFill="1" applyBorder="1" applyAlignment="1" applyProtection="1">
      <alignment horizontal="center" vertical="center" wrapText="1"/>
    </xf>
    <xf numFmtId="43" fontId="44" fillId="0" borderId="51" xfId="0" applyNumberFormat="1" applyFont="1" applyBorder="1" applyAlignment="1" applyProtection="1">
      <alignment horizontal="left" vertical="center" wrapText="1"/>
      <protection locked="0"/>
    </xf>
    <xf numFmtId="43" fontId="44" fillId="0" borderId="60" xfId="0" applyNumberFormat="1" applyFont="1" applyBorder="1" applyAlignment="1" applyProtection="1">
      <alignment horizontal="left" vertical="center" wrapText="1"/>
      <protection locked="0"/>
    </xf>
    <xf numFmtId="43" fontId="16" fillId="0" borderId="0" xfId="0" applyNumberFormat="1" applyFont="1" applyAlignment="1" applyProtection="1">
      <alignment vertical="top"/>
      <protection locked="0"/>
    </xf>
    <xf numFmtId="43" fontId="44" fillId="0" borderId="43" xfId="0" applyNumberFormat="1" applyFont="1" applyBorder="1" applyAlignment="1" applyProtection="1">
      <alignment horizontal="left" vertical="center" wrapText="1"/>
      <protection locked="0"/>
    </xf>
    <xf numFmtId="43" fontId="16" fillId="0" borderId="64" xfId="0" applyNumberFormat="1" applyFont="1" applyBorder="1" applyAlignment="1" applyProtection="1">
      <alignment horizontal="center" vertical="center" wrapText="1"/>
      <protection locked="0"/>
    </xf>
    <xf numFmtId="43" fontId="7" fillId="0" borderId="69" xfId="4" applyNumberFormat="1" applyFont="1" applyFill="1" applyBorder="1" applyAlignment="1" applyProtection="1">
      <alignment horizontal="center" vertical="top" wrapText="1"/>
      <protection locked="0"/>
    </xf>
    <xf numFmtId="43" fontId="44" fillId="0" borderId="59" xfId="0" applyNumberFormat="1" applyFont="1" applyBorder="1" applyAlignment="1" applyProtection="1">
      <alignment horizontal="left" vertical="center" wrapText="1"/>
      <protection locked="0"/>
    </xf>
    <xf numFmtId="43" fontId="44" fillId="0" borderId="46" xfId="0" applyNumberFormat="1" applyFont="1" applyBorder="1" applyAlignment="1" applyProtection="1">
      <alignment horizontal="left" vertical="center" wrapText="1"/>
      <protection locked="0"/>
    </xf>
    <xf numFmtId="43" fontId="16" fillId="0" borderId="56" xfId="0" applyNumberFormat="1" applyFont="1" applyBorder="1" applyAlignment="1" applyProtection="1">
      <alignment horizontal="center" vertical="center" wrapText="1"/>
      <protection locked="0"/>
    </xf>
    <xf numFmtId="43" fontId="16" fillId="0" borderId="136" xfId="0" applyNumberFormat="1" applyFont="1" applyBorder="1" applyAlignment="1" applyProtection="1">
      <alignment horizontal="left" vertical="center" wrapText="1"/>
      <protection locked="0"/>
    </xf>
    <xf numFmtId="43" fontId="16" fillId="0" borderId="46" xfId="0" applyNumberFormat="1" applyFont="1" applyBorder="1" applyAlignment="1" applyProtection="1">
      <alignment horizontal="left" vertical="center" wrapText="1"/>
      <protection locked="0"/>
    </xf>
    <xf numFmtId="43" fontId="16" fillId="9" borderId="280" xfId="0" applyNumberFormat="1" applyFont="1" applyFill="1" applyBorder="1" applyAlignment="1">
      <alignment horizontal="center" vertical="center" wrapText="1"/>
    </xf>
    <xf numFmtId="43" fontId="16" fillId="9" borderId="281" xfId="0" applyNumberFormat="1" applyFont="1" applyFill="1" applyBorder="1" applyAlignment="1">
      <alignment horizontal="center" vertical="center" wrapText="1"/>
    </xf>
    <xf numFmtId="43" fontId="16" fillId="9" borderId="182" xfId="0" applyNumberFormat="1" applyFont="1" applyFill="1" applyBorder="1" applyAlignment="1">
      <alignment horizontal="center" vertical="center" wrapText="1"/>
    </xf>
    <xf numFmtId="43" fontId="16" fillId="9" borderId="74" xfId="0" applyNumberFormat="1" applyFont="1" applyFill="1" applyBorder="1" applyAlignment="1">
      <alignment horizontal="center" vertical="center" wrapText="1"/>
    </xf>
    <xf numFmtId="43" fontId="8" fillId="38" borderId="64" xfId="4" applyNumberFormat="1" applyFont="1" applyFill="1" applyBorder="1" applyAlignment="1" applyProtection="1">
      <alignment horizontal="center" vertical="center" wrapText="1"/>
    </xf>
    <xf numFmtId="43" fontId="8" fillId="38" borderId="282" xfId="4" applyNumberFormat="1" applyFont="1" applyFill="1" applyBorder="1" applyAlignment="1" applyProtection="1">
      <alignment horizontal="center" vertical="center" wrapText="1"/>
    </xf>
    <xf numFmtId="43" fontId="16" fillId="0" borderId="59" xfId="5" applyNumberFormat="1" applyFont="1" applyFill="1" applyBorder="1" applyAlignment="1" applyProtection="1">
      <alignment horizontal="center" vertical="center"/>
    </xf>
    <xf numFmtId="43" fontId="44" fillId="0" borderId="136" xfId="0" applyNumberFormat="1" applyFont="1" applyBorder="1" applyAlignment="1" applyProtection="1">
      <alignment horizontal="left" vertical="center" wrapText="1"/>
      <protection locked="0"/>
    </xf>
    <xf numFmtId="43" fontId="22" fillId="5" borderId="14" xfId="6" applyNumberFormat="1" applyFont="1" applyFill="1" applyBorder="1" applyAlignment="1" applyProtection="1">
      <alignment vertical="top"/>
    </xf>
    <xf numFmtId="43" fontId="22" fillId="5" borderId="0" xfId="6" applyNumberFormat="1" applyFont="1" applyFill="1" applyBorder="1" applyAlignment="1" applyProtection="1">
      <alignment vertical="top"/>
    </xf>
    <xf numFmtId="43" fontId="21" fillId="5" borderId="0" xfId="6" applyNumberFormat="1" applyFont="1" applyFill="1" applyBorder="1" applyAlignment="1" applyProtection="1">
      <alignment vertical="top"/>
    </xf>
    <xf numFmtId="43" fontId="21" fillId="5" borderId="59" xfId="6" applyNumberFormat="1" applyFont="1" applyFill="1" applyBorder="1" applyAlignment="1" applyProtection="1">
      <alignment vertical="top"/>
    </xf>
    <xf numFmtId="43" fontId="5" fillId="31" borderId="108" xfId="12" applyNumberFormat="1" applyFont="1" applyFill="1" applyBorder="1" applyAlignment="1" applyProtection="1">
      <alignment horizontal="center" vertical="center" wrapText="1"/>
    </xf>
    <xf numFmtId="43" fontId="5" fillId="31" borderId="0" xfId="12" applyNumberFormat="1" applyFont="1" applyFill="1" applyBorder="1" applyAlignment="1" applyProtection="1">
      <alignment horizontal="center" vertical="center" wrapText="1"/>
    </xf>
    <xf numFmtId="43" fontId="50" fillId="31" borderId="0" xfId="12" applyNumberFormat="1" applyFont="1" applyFill="1" applyBorder="1" applyAlignment="1" applyProtection="1">
      <alignment horizontal="left" vertical="center"/>
    </xf>
    <xf numFmtId="43" fontId="50" fillId="31" borderId="56" xfId="12" applyNumberFormat="1" applyFont="1" applyFill="1" applyBorder="1" applyAlignment="1" applyProtection="1">
      <alignment horizontal="center" vertical="center"/>
    </xf>
    <xf numFmtId="43" fontId="50" fillId="31" borderId="14" xfId="12" applyNumberFormat="1" applyFont="1" applyFill="1" applyBorder="1" applyAlignment="1" applyProtection="1">
      <alignment horizontal="center" vertical="center"/>
    </xf>
    <xf numFmtId="43" fontId="50" fillId="31" borderId="0" xfId="12" applyNumberFormat="1" applyFont="1" applyFill="1" applyBorder="1" applyAlignment="1" applyProtection="1">
      <alignment horizontal="center" vertical="center"/>
    </xf>
    <xf numFmtId="43" fontId="50" fillId="31" borderId="46" xfId="12" applyNumberFormat="1" applyFont="1" applyFill="1" applyBorder="1" applyAlignment="1" applyProtection="1">
      <alignment horizontal="center" vertical="center"/>
    </xf>
    <xf numFmtId="43" fontId="5" fillId="5" borderId="114" xfId="6" applyNumberFormat="1" applyFont="1" applyFill="1" applyBorder="1" applyAlignment="1" applyProtection="1">
      <alignment horizontal="center" vertical="center" wrapText="1"/>
    </xf>
    <xf numFmtId="43" fontId="5" fillId="31" borderId="68" xfId="12" applyNumberFormat="1" applyFont="1" applyFill="1" applyBorder="1" applyAlignment="1" applyProtection="1">
      <alignment horizontal="center" vertical="center" wrapText="1"/>
    </xf>
    <xf numFmtId="43" fontId="26" fillId="22" borderId="149" xfId="0" applyNumberFormat="1" applyFont="1" applyFill="1" applyBorder="1" applyAlignment="1">
      <alignment horizontal="centerContinuous" vertical="center" wrapText="1"/>
    </xf>
    <xf numFmtId="43" fontId="16" fillId="12" borderId="40" xfId="0" applyNumberFormat="1" applyFont="1" applyFill="1" applyBorder="1" applyAlignment="1">
      <alignment horizontal="centerContinuous" vertical="center" wrapText="1"/>
    </xf>
    <xf numFmtId="43" fontId="0" fillId="12" borderId="63" xfId="0" applyNumberFormat="1" applyFill="1" applyBorder="1" applyAlignment="1">
      <alignment horizontal="centerContinuous" vertical="center" wrapText="1"/>
    </xf>
    <xf numFmtId="43" fontId="48" fillId="22" borderId="75" xfId="12" applyNumberFormat="1" applyFont="1" applyFill="1" applyBorder="1" applyAlignment="1" applyProtection="1">
      <alignment horizontal="center" vertical="center" wrapText="1"/>
    </xf>
    <xf numFmtId="43" fontId="48" fillId="22" borderId="41" xfId="12" applyNumberFormat="1" applyFont="1" applyFill="1" applyBorder="1" applyAlignment="1" applyProtection="1">
      <alignment horizontal="center" vertical="center" wrapText="1"/>
    </xf>
    <xf numFmtId="43" fontId="48" fillId="22" borderId="120" xfId="12" applyNumberFormat="1" applyFont="1" applyFill="1" applyBorder="1" applyAlignment="1" applyProtection="1">
      <alignment horizontal="center" vertical="center" wrapText="1"/>
    </xf>
    <xf numFmtId="43" fontId="8" fillId="22" borderId="160" xfId="4" applyNumberFormat="1" applyFont="1" applyFill="1" applyBorder="1" applyAlignment="1" applyProtection="1">
      <alignment horizontal="center" vertical="center" wrapText="1"/>
    </xf>
    <xf numFmtId="43" fontId="8" fillId="22" borderId="63" xfId="4" applyNumberFormat="1" applyFont="1" applyFill="1" applyBorder="1" applyAlignment="1" applyProtection="1">
      <alignment horizontal="center" vertical="center" wrapText="1"/>
    </xf>
    <xf numFmtId="43" fontId="8" fillId="22" borderId="49" xfId="4" applyNumberFormat="1" applyFont="1" applyFill="1" applyBorder="1" applyAlignment="1" applyProtection="1">
      <alignment horizontal="center" vertical="center" wrapText="1"/>
    </xf>
    <xf numFmtId="43" fontId="8" fillId="22" borderId="40" xfId="4" applyNumberFormat="1" applyFont="1" applyFill="1" applyBorder="1" applyAlignment="1" applyProtection="1">
      <alignment horizontal="center" vertical="center" wrapText="1"/>
    </xf>
    <xf numFmtId="43" fontId="8" fillId="22" borderId="40" xfId="4" applyNumberFormat="1" applyFont="1" applyFill="1" applyBorder="1" applyAlignment="1" applyProtection="1">
      <alignment horizontal="left" vertical="center" wrapText="1"/>
    </xf>
    <xf numFmtId="43" fontId="8" fillId="22" borderId="57" xfId="4" applyNumberFormat="1" applyFont="1" applyFill="1" applyBorder="1" applyAlignment="1" applyProtection="1">
      <alignment horizontal="center" vertical="center" wrapText="1"/>
    </xf>
    <xf numFmtId="43" fontId="8" fillId="22" borderId="58" xfId="4" applyNumberFormat="1" applyFont="1" applyFill="1" applyBorder="1" applyAlignment="1" applyProtection="1">
      <alignment horizontal="center" vertical="center" wrapText="1"/>
    </xf>
    <xf numFmtId="43" fontId="8" fillId="22" borderId="39" xfId="4" applyNumberFormat="1" applyFont="1" applyFill="1" applyBorder="1" applyAlignment="1" applyProtection="1">
      <alignment vertical="center" wrapText="1"/>
    </xf>
    <xf numFmtId="43" fontId="8" fillId="22" borderId="47" xfId="0" applyNumberFormat="1" applyFont="1" applyFill="1" applyBorder="1" applyAlignment="1">
      <alignment vertical="top" wrapText="1"/>
    </xf>
    <xf numFmtId="43" fontId="8" fillId="22" borderId="116" xfId="4" applyNumberFormat="1" applyFont="1" applyFill="1" applyBorder="1" applyAlignment="1" applyProtection="1">
      <alignment horizontal="center" vertical="center" wrapText="1"/>
    </xf>
    <xf numFmtId="43" fontId="8" fillId="22" borderId="65" xfId="4" applyNumberFormat="1" applyFont="1" applyFill="1" applyBorder="1" applyAlignment="1" applyProtection="1">
      <alignment horizontal="center" vertical="center" wrapText="1"/>
    </xf>
    <xf numFmtId="43" fontId="16" fillId="0" borderId="108" xfId="0" applyNumberFormat="1" applyFont="1" applyBorder="1" applyAlignment="1">
      <alignment horizontal="left" vertical="center" wrapText="1"/>
    </xf>
    <xf numFmtId="43" fontId="16" fillId="0" borderId="46" xfId="0" applyNumberFormat="1" applyFont="1" applyBorder="1" applyAlignment="1">
      <alignment horizontal="left" vertical="center" wrapText="1"/>
    </xf>
    <xf numFmtId="43" fontId="16" fillId="0" borderId="0" xfId="0" applyNumberFormat="1" applyFont="1" applyAlignment="1" applyProtection="1">
      <alignment horizontal="center" vertical="top"/>
      <protection locked="0"/>
    </xf>
    <xf numFmtId="43" fontId="16" fillId="0" borderId="59" xfId="0" applyNumberFormat="1" applyFont="1" applyBorder="1" applyAlignment="1" applyProtection="1">
      <alignment horizontal="center" vertical="top"/>
      <protection locked="0"/>
    </xf>
    <xf numFmtId="43" fontId="7" fillId="35" borderId="112" xfId="4" applyNumberFormat="1" applyFont="1" applyFill="1" applyBorder="1" applyAlignment="1" applyProtection="1">
      <alignment horizontal="center" vertical="center" wrapText="1"/>
      <protection locked="0"/>
    </xf>
    <xf numFmtId="43" fontId="7" fillId="0" borderId="112" xfId="4" applyNumberFormat="1" applyFont="1" applyFill="1" applyBorder="1" applyAlignment="1" applyProtection="1">
      <alignment horizontal="center" vertical="center" wrapText="1"/>
      <protection locked="0"/>
    </xf>
    <xf numFmtId="43" fontId="16" fillId="0" borderId="108" xfId="0" applyNumberFormat="1" applyFont="1" applyBorder="1" applyAlignment="1">
      <alignment horizontal="left" vertical="center"/>
    </xf>
    <xf numFmtId="43" fontId="16" fillId="9" borderId="105" xfId="0" applyNumberFormat="1" applyFont="1" applyFill="1" applyBorder="1" applyAlignment="1" applyProtection="1">
      <alignment horizontal="center" vertical="center" wrapText="1"/>
      <protection locked="0"/>
    </xf>
    <xf numFmtId="43" fontId="49" fillId="9" borderId="106" xfId="0" applyNumberFormat="1" applyFont="1" applyFill="1" applyBorder="1" applyAlignment="1">
      <alignment horizontal="center" vertical="center" wrapText="1"/>
    </xf>
    <xf numFmtId="43" fontId="24" fillId="22" borderId="58" xfId="0" applyNumberFormat="1" applyFont="1" applyFill="1" applyBorder="1" applyAlignment="1" applyProtection="1">
      <alignment vertical="top" wrapText="1"/>
      <protection locked="0"/>
    </xf>
    <xf numFmtId="43" fontId="51" fillId="12" borderId="40" xfId="0" applyNumberFormat="1" applyFont="1" applyFill="1" applyBorder="1" applyAlignment="1" applyProtection="1">
      <alignment vertical="center" wrapText="1"/>
      <protection locked="0"/>
    </xf>
    <xf numFmtId="43" fontId="51" fillId="12" borderId="40" xfId="0" applyNumberFormat="1" applyFont="1" applyFill="1" applyBorder="1" applyAlignment="1" applyProtection="1">
      <alignment vertical="top" wrapText="1"/>
      <protection locked="0"/>
    </xf>
    <xf numFmtId="43" fontId="48" fillId="22" borderId="40" xfId="12" applyNumberFormat="1" applyFont="1" applyFill="1" applyBorder="1" applyAlignment="1" applyProtection="1">
      <alignment horizontal="center" vertical="center" wrapText="1"/>
      <protection locked="0"/>
    </xf>
    <xf numFmtId="43" fontId="0" fillId="22" borderId="40" xfId="0" applyNumberFormat="1" applyFill="1" applyBorder="1" applyAlignment="1" applyProtection="1">
      <alignment horizontal="center" vertical="center" wrapText="1"/>
      <protection locked="0"/>
    </xf>
    <xf numFmtId="43" fontId="0" fillId="22" borderId="39" xfId="0" applyNumberFormat="1" applyFill="1" applyBorder="1" applyAlignment="1">
      <alignment horizontal="center" vertical="center" wrapText="1"/>
    </xf>
    <xf numFmtId="43" fontId="8" fillId="22" borderId="40" xfId="4" applyNumberFormat="1" applyFont="1" applyFill="1" applyBorder="1" applyAlignment="1" applyProtection="1">
      <alignment horizontal="center" vertical="center" wrapText="1"/>
      <protection locked="0"/>
    </xf>
    <xf numFmtId="43" fontId="8" fillId="22" borderId="57" xfId="4" applyNumberFormat="1" applyFont="1" applyFill="1" applyBorder="1" applyAlignment="1" applyProtection="1">
      <alignment horizontal="left" vertical="center" wrapText="1"/>
      <protection locked="0"/>
    </xf>
    <xf numFmtId="43" fontId="8" fillId="22" borderId="58" xfId="4" applyNumberFormat="1" applyFont="1" applyFill="1" applyBorder="1" applyAlignment="1" applyProtection="1">
      <alignment horizontal="left" vertical="center" wrapText="1"/>
      <protection locked="0"/>
    </xf>
    <xf numFmtId="43" fontId="16" fillId="12" borderId="40" xfId="5" applyNumberFormat="1" applyFont="1" applyFill="1" applyBorder="1" applyAlignment="1" applyProtection="1">
      <alignment horizontal="center" vertical="center"/>
    </xf>
    <xf numFmtId="43" fontId="24" fillId="30" borderId="29" xfId="0" applyNumberFormat="1" applyFont="1" applyFill="1" applyBorder="1" applyAlignment="1" applyProtection="1">
      <alignment vertical="top" wrapText="1"/>
      <protection locked="0"/>
    </xf>
    <xf numFmtId="43" fontId="24" fillId="30" borderId="14" xfId="0" applyNumberFormat="1" applyFont="1" applyFill="1" applyBorder="1" applyAlignment="1" applyProtection="1">
      <alignment vertical="top" wrapText="1"/>
      <protection locked="0"/>
    </xf>
    <xf numFmtId="43" fontId="24" fillId="30" borderId="132" xfId="0" applyNumberFormat="1" applyFont="1" applyFill="1" applyBorder="1" applyAlignment="1" applyProtection="1">
      <alignment vertical="top" wrapText="1"/>
      <protection locked="0"/>
    </xf>
    <xf numFmtId="43" fontId="16" fillId="0" borderId="136" xfId="0" applyNumberFormat="1" applyFont="1" applyBorder="1" applyAlignment="1" applyProtection="1">
      <alignment horizontal="left" vertical="center"/>
      <protection locked="0"/>
    </xf>
    <xf numFmtId="43" fontId="16" fillId="0" borderId="0" xfId="52" applyNumberFormat="1" applyFont="1" applyAlignment="1">
      <alignment vertical="top" wrapText="1"/>
    </xf>
    <xf numFmtId="43" fontId="16" fillId="35" borderId="59" xfId="5" applyNumberFormat="1" applyFont="1" applyFill="1" applyBorder="1" applyAlignment="1" applyProtection="1">
      <alignment horizontal="center" vertical="center"/>
    </xf>
    <xf numFmtId="43" fontId="24" fillId="30" borderId="131" xfId="0" applyNumberFormat="1" applyFont="1" applyFill="1" applyBorder="1" applyAlignment="1" applyProtection="1">
      <alignment vertical="top" wrapText="1"/>
      <protection locked="0"/>
    </xf>
    <xf numFmtId="43" fontId="24" fillId="30" borderId="74" xfId="0" applyNumberFormat="1" applyFont="1" applyFill="1" applyBorder="1" applyAlignment="1" applyProtection="1">
      <alignment vertical="top" wrapText="1"/>
      <protection locked="0"/>
    </xf>
    <xf numFmtId="43" fontId="5" fillId="13" borderId="70" xfId="0" applyNumberFormat="1" applyFont="1" applyFill="1" applyBorder="1" applyAlignment="1">
      <alignment vertical="center" wrapText="1"/>
    </xf>
    <xf numFmtId="43" fontId="5" fillId="13" borderId="70" xfId="0" applyNumberFormat="1" applyFont="1" applyFill="1" applyBorder="1" applyAlignment="1">
      <alignment vertical="top" wrapText="1"/>
    </xf>
    <xf numFmtId="43" fontId="5" fillId="13" borderId="71" xfId="0" applyNumberFormat="1" applyFont="1" applyFill="1" applyBorder="1" applyAlignment="1">
      <alignment vertical="top" wrapText="1"/>
    </xf>
    <xf numFmtId="43" fontId="27" fillId="13" borderId="71" xfId="0" applyNumberFormat="1" applyFont="1" applyFill="1" applyBorder="1" applyAlignment="1">
      <alignment horizontal="left" vertical="center" wrapText="1"/>
    </xf>
    <xf numFmtId="43" fontId="5" fillId="13" borderId="80" xfId="4" applyNumberFormat="1" applyFont="1" applyFill="1" applyBorder="1" applyAlignment="1" applyProtection="1">
      <alignment horizontal="center" vertical="center" wrapText="1"/>
    </xf>
    <xf numFmtId="43" fontId="5" fillId="13" borderId="34" xfId="6" applyNumberFormat="1" applyFont="1" applyFill="1" applyBorder="1" applyAlignment="1" applyProtection="1">
      <alignment horizontal="center" vertical="center" wrapText="1"/>
    </xf>
    <xf numFmtId="43" fontId="27" fillId="13" borderId="78" xfId="0" applyNumberFormat="1" applyFont="1" applyFill="1" applyBorder="1" applyAlignment="1">
      <alignment horizontal="center" vertical="center" wrapText="1"/>
    </xf>
    <xf numFmtId="43" fontId="30" fillId="13" borderId="33" xfId="0" applyNumberFormat="1" applyFont="1" applyFill="1" applyBorder="1" applyAlignment="1">
      <alignment horizontal="center" vertical="center" wrapText="1"/>
    </xf>
    <xf numFmtId="43" fontId="31" fillId="13" borderId="79" xfId="0" applyNumberFormat="1" applyFont="1" applyFill="1" applyBorder="1" applyAlignment="1">
      <alignment horizontal="center" vertical="center" wrapText="1"/>
    </xf>
    <xf numFmtId="43" fontId="32" fillId="13" borderId="73" xfId="0" applyNumberFormat="1" applyFont="1" applyFill="1" applyBorder="1" applyAlignment="1">
      <alignment vertical="top" wrapText="1"/>
    </xf>
    <xf numFmtId="43" fontId="7" fillId="0" borderId="52" xfId="0" applyNumberFormat="1" applyFont="1" applyBorder="1" applyAlignment="1">
      <alignment horizontal="centerContinuous" vertical="center" wrapText="1"/>
    </xf>
    <xf numFmtId="43" fontId="29" fillId="0" borderId="50" xfId="0" applyNumberFormat="1" applyFont="1" applyBorder="1" applyAlignment="1">
      <alignment horizontal="center" vertical="center" wrapText="1"/>
    </xf>
    <xf numFmtId="43" fontId="8" fillId="0" borderId="45" xfId="1" applyFont="1" applyFill="1" applyBorder="1" applyAlignment="1">
      <alignment vertical="center" wrapText="1"/>
    </xf>
    <xf numFmtId="43" fontId="29" fillId="0" borderId="39" xfId="0" applyNumberFormat="1" applyFont="1" applyBorder="1" applyAlignment="1" applyProtection="1">
      <alignment horizontal="center" vertical="center" wrapText="1"/>
      <protection locked="0"/>
    </xf>
    <xf numFmtId="43" fontId="7" fillId="0" borderId="62" xfId="4" applyNumberFormat="1" applyFont="1" applyFill="1" applyBorder="1" applyAlignment="1" applyProtection="1">
      <alignment vertical="center" wrapText="1"/>
      <protection locked="0"/>
    </xf>
    <xf numFmtId="43" fontId="7" fillId="0" borderId="40" xfId="0" applyNumberFormat="1" applyFont="1" applyBorder="1" applyAlignment="1">
      <alignment horizontal="centerContinuous" vertical="center" wrapText="1"/>
    </xf>
    <xf numFmtId="43" fontId="7" fillId="0" borderId="63" xfId="1" applyFont="1" applyFill="1" applyBorder="1" applyAlignment="1">
      <alignment horizontal="center" vertical="center" wrapText="1"/>
    </xf>
    <xf numFmtId="43" fontId="16" fillId="0" borderId="0" xfId="0" applyNumberFormat="1" applyFont="1" applyAlignment="1">
      <alignment vertical="top"/>
    </xf>
    <xf numFmtId="43" fontId="12" fillId="0" borderId="0" xfId="0" applyNumberFormat="1" applyFont="1" applyAlignment="1">
      <alignment vertical="top"/>
    </xf>
    <xf numFmtId="43" fontId="15" fillId="0" borderId="0" xfId="0" applyNumberFormat="1" applyFont="1" applyAlignment="1">
      <alignment vertical="top"/>
    </xf>
    <xf numFmtId="43" fontId="15" fillId="0" borderId="0" xfId="0" applyNumberFormat="1" applyFont="1" applyAlignment="1">
      <alignment horizontal="center" vertical="top"/>
    </xf>
    <xf numFmtId="0" fontId="2" fillId="32" borderId="29" xfId="72" applyFont="1" applyFill="1" applyBorder="1" applyAlignment="1">
      <alignment wrapText="1"/>
    </xf>
    <xf numFmtId="0" fontId="2" fillId="29" borderId="29" xfId="72" applyFont="1" applyFill="1" applyBorder="1" applyAlignment="1">
      <alignment wrapText="1"/>
    </xf>
    <xf numFmtId="0" fontId="2" fillId="32" borderId="134" xfId="0" applyFont="1" applyFill="1" applyBorder="1" applyAlignment="1">
      <alignment wrapText="1"/>
    </xf>
    <xf numFmtId="9" fontId="2" fillId="0" borderId="0" xfId="72" applyNumberFormat="1" applyFont="1" applyAlignment="1">
      <alignment horizontal="center" vertical="center"/>
    </xf>
    <xf numFmtId="9" fontId="2" fillId="34" borderId="30" xfId="72" applyNumberFormat="1" applyFont="1" applyFill="1" applyBorder="1" applyAlignment="1">
      <alignment horizontal="center" vertical="center"/>
    </xf>
    <xf numFmtId="0" fontId="2" fillId="0" borderId="12" xfId="72" applyFont="1" applyBorder="1" applyAlignment="1">
      <alignment horizontal="left"/>
    </xf>
    <xf numFmtId="9" fontId="2" fillId="0" borderId="0" xfId="73" applyFont="1"/>
    <xf numFmtId="0" fontId="2" fillId="0" borderId="195" xfId="0" applyFont="1" applyBorder="1" applyAlignment="1">
      <alignment vertical="center" wrapText="1"/>
    </xf>
    <xf numFmtId="0" fontId="2" fillId="0" borderId="200" xfId="0" applyFont="1" applyBorder="1" applyAlignment="1">
      <alignment vertical="center" wrapText="1"/>
    </xf>
    <xf numFmtId="0" fontId="2" fillId="0" borderId="212" xfId="0" applyFont="1" applyBorder="1" applyAlignment="1" applyProtection="1">
      <alignment vertical="center" wrapText="1"/>
      <protection locked="0"/>
    </xf>
    <xf numFmtId="0" fontId="2" fillId="0" borderId="18" xfId="0" applyFont="1" applyBorder="1" applyAlignment="1">
      <alignment horizontal="left" vertical="center" wrapText="1"/>
    </xf>
    <xf numFmtId="0" fontId="2" fillId="0" borderId="5" xfId="0" applyFont="1" applyBorder="1" applyAlignment="1">
      <alignment vertical="center" wrapText="1"/>
    </xf>
    <xf numFmtId="0" fontId="2" fillId="0" borderId="251" xfId="0" applyFont="1" applyBorder="1" applyAlignment="1">
      <alignment vertical="center" wrapText="1"/>
    </xf>
    <xf numFmtId="0" fontId="2" fillId="0" borderId="0" xfId="0" applyFont="1" applyAlignment="1" applyProtection="1">
      <alignment vertical="top"/>
      <protection locked="0"/>
    </xf>
    <xf numFmtId="0" fontId="2" fillId="0" borderId="0" xfId="0" applyFont="1" applyAlignment="1" applyProtection="1">
      <alignment horizontal="center" vertical="top"/>
      <protection locked="0"/>
    </xf>
    <xf numFmtId="0" fontId="2" fillId="0" borderId="0" xfId="0" applyFont="1" applyAlignment="1">
      <alignment vertical="top"/>
    </xf>
    <xf numFmtId="43" fontId="2" fillId="0" borderId="56" xfId="0" applyNumberFormat="1" applyFont="1" applyBorder="1" applyAlignment="1" applyProtection="1">
      <alignment horizontal="center" vertical="center" wrapText="1"/>
      <protection locked="0"/>
    </xf>
    <xf numFmtId="43" fontId="2" fillId="0" borderId="0" xfId="0" applyNumberFormat="1" applyFont="1" applyAlignment="1" applyProtection="1">
      <alignment horizontal="left" vertical="center" wrapText="1"/>
      <protection locked="0"/>
    </xf>
    <xf numFmtId="43" fontId="2" fillId="0" borderId="0" xfId="0" applyNumberFormat="1" applyFont="1" applyAlignment="1" applyProtection="1">
      <alignment horizontal="left" vertical="center"/>
      <protection locked="0"/>
    </xf>
    <xf numFmtId="43" fontId="2" fillId="0" borderId="56" xfId="0" applyNumberFormat="1" applyFont="1" applyBorder="1" applyAlignment="1" applyProtection="1">
      <alignment horizontal="center" vertical="center"/>
      <protection locked="0"/>
    </xf>
    <xf numFmtId="43" fontId="2" fillId="0" borderId="66" xfId="4" applyNumberFormat="1" applyFont="1" applyFill="1" applyBorder="1" applyAlignment="1" applyProtection="1">
      <alignment vertical="top"/>
      <protection locked="0"/>
    </xf>
    <xf numFmtId="43" fontId="2" fillId="12" borderId="40" xfId="0" applyNumberFormat="1" applyFont="1" applyFill="1" applyBorder="1" applyAlignment="1" applyProtection="1">
      <alignment vertical="top" wrapText="1"/>
      <protection locked="0"/>
    </xf>
    <xf numFmtId="43" fontId="2" fillId="0" borderId="0" xfId="0" applyNumberFormat="1" applyFont="1" applyAlignment="1" applyProtection="1">
      <alignment horizontal="center" vertical="center"/>
      <protection locked="0"/>
    </xf>
    <xf numFmtId="43" fontId="2" fillId="0" borderId="0" xfId="0" applyNumberFormat="1" applyFont="1" applyAlignment="1">
      <alignment vertical="top"/>
    </xf>
    <xf numFmtId="43" fontId="2" fillId="0" borderId="7" xfId="0" applyNumberFormat="1" applyFont="1" applyBorder="1" applyAlignment="1">
      <alignment horizontal="centerContinuous" vertical="center"/>
    </xf>
    <xf numFmtId="43" fontId="2" fillId="0" borderId="52" xfId="0" applyNumberFormat="1" applyFont="1" applyBorder="1" applyAlignment="1">
      <alignment horizontal="centerContinuous" vertical="center" wrapText="1"/>
    </xf>
    <xf numFmtId="43" fontId="2" fillId="0" borderId="38" xfId="0" applyNumberFormat="1" applyFont="1" applyBorder="1" applyAlignment="1">
      <alignment horizontal="centerContinuous" vertical="center" wrapText="1"/>
    </xf>
    <xf numFmtId="43" fontId="2" fillId="0" borderId="135" xfId="0" applyNumberFormat="1" applyFont="1" applyBorder="1" applyAlignment="1">
      <alignment horizontal="center" vertical="center"/>
    </xf>
    <xf numFmtId="43" fontId="2" fillId="0" borderId="0" xfId="0" applyNumberFormat="1" applyFont="1" applyAlignment="1">
      <alignment horizontal="center" vertical="center"/>
    </xf>
    <xf numFmtId="43" fontId="2" fillId="0" borderId="0" xfId="0" applyNumberFormat="1" applyFont="1" applyAlignment="1">
      <alignment horizontal="centerContinuous" vertical="center"/>
    </xf>
    <xf numFmtId="43" fontId="2" fillId="0" borderId="40" xfId="0" applyNumberFormat="1" applyFont="1" applyBorder="1" applyAlignment="1">
      <alignment horizontal="centerContinuous" vertical="center" wrapText="1"/>
    </xf>
    <xf numFmtId="43" fontId="2" fillId="0" borderId="0" xfId="0" applyNumberFormat="1" applyFont="1" applyAlignment="1">
      <alignment horizontal="center" vertical="top"/>
    </xf>
    <xf numFmtId="3" fontId="2" fillId="0" borderId="56" xfId="0" applyNumberFormat="1" applyFont="1" applyBorder="1" applyAlignment="1" applyProtection="1">
      <alignment horizontal="center" vertical="center" wrapText="1"/>
      <protection locked="0"/>
    </xf>
    <xf numFmtId="49" fontId="2" fillId="0" borderId="0" xfId="0" applyNumberFormat="1" applyFont="1" applyAlignment="1" applyProtection="1">
      <alignment horizontal="left" vertical="center" wrapText="1"/>
      <protection locked="0"/>
    </xf>
    <xf numFmtId="49" fontId="2" fillId="0" borderId="0" xfId="0" applyNumberFormat="1" applyFont="1" applyAlignment="1" applyProtection="1">
      <alignment horizontal="left" vertical="center"/>
      <protection locked="0"/>
    </xf>
    <xf numFmtId="3" fontId="2" fillId="0" borderId="56" xfId="0" applyNumberFormat="1" applyFont="1" applyBorder="1" applyAlignment="1" applyProtection="1">
      <alignment horizontal="center" vertical="center"/>
      <protection locked="0"/>
    </xf>
    <xf numFmtId="167" fontId="2" fillId="0" borderId="66" xfId="4" applyNumberFormat="1" applyFont="1" applyFill="1" applyBorder="1" applyAlignment="1" applyProtection="1">
      <alignment vertical="top"/>
      <protection locked="0"/>
    </xf>
    <xf numFmtId="0" fontId="2" fillId="12" borderId="40" xfId="0" applyFont="1" applyFill="1" applyBorder="1" applyAlignment="1" applyProtection="1">
      <alignment vertical="top" wrapText="1"/>
      <protection locked="0"/>
    </xf>
    <xf numFmtId="49" fontId="2" fillId="0" borderId="0" xfId="0" applyNumberFormat="1" applyFont="1" applyAlignment="1" applyProtection="1">
      <alignment horizontal="center" vertical="center"/>
      <protection locked="0"/>
    </xf>
    <xf numFmtId="0" fontId="2" fillId="0" borderId="7" xfId="0" applyFont="1" applyBorder="1" applyAlignment="1">
      <alignment horizontal="centerContinuous" vertical="center"/>
    </xf>
    <xf numFmtId="0" fontId="2" fillId="0" borderId="52" xfId="0" applyFont="1" applyBorder="1" applyAlignment="1">
      <alignment horizontal="centerContinuous" vertical="center" wrapText="1"/>
    </xf>
    <xf numFmtId="0" fontId="2" fillId="0" borderId="38" xfId="0" applyFont="1" applyBorder="1" applyAlignment="1">
      <alignment horizontal="centerContinuous" vertical="center" wrapText="1"/>
    </xf>
    <xf numFmtId="0" fontId="2" fillId="0" borderId="13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Continuous" vertical="center"/>
    </xf>
    <xf numFmtId="0" fontId="2" fillId="0" borderId="40" xfId="0" applyFont="1" applyBorder="1" applyAlignment="1">
      <alignment horizontal="centerContinuous" vertical="center" wrapText="1"/>
    </xf>
    <xf numFmtId="0" fontId="2" fillId="0" borderId="0" xfId="0" applyFont="1" applyAlignment="1">
      <alignment horizontal="center" vertical="top"/>
    </xf>
    <xf numFmtId="0" fontId="2" fillId="0" borderId="27" xfId="0" applyFont="1" applyBorder="1" applyAlignment="1" applyProtection="1">
      <alignment vertical="top"/>
      <protection locked="0"/>
    </xf>
    <xf numFmtId="0" fontId="2" fillId="0" borderId="33" xfId="0" applyFont="1" applyBorder="1" applyAlignment="1">
      <alignment vertical="top"/>
    </xf>
    <xf numFmtId="167" fontId="2" fillId="0" borderId="56" xfId="4" applyNumberFormat="1" applyFont="1" applyFill="1" applyBorder="1" applyAlignment="1" applyProtection="1">
      <alignment vertical="top"/>
      <protection locked="0"/>
    </xf>
    <xf numFmtId="0" fontId="2" fillId="0" borderId="0" xfId="0" applyFont="1" applyAlignment="1" applyProtection="1">
      <alignment horizontal="centerContinuous" vertical="center"/>
      <protection locked="0"/>
    </xf>
    <xf numFmtId="0" fontId="2" fillId="21" borderId="4" xfId="72" applyFont="1" applyFill="1" applyBorder="1"/>
    <xf numFmtId="0" fontId="2" fillId="38" borderId="4" xfId="72" applyFont="1" applyFill="1" applyBorder="1"/>
    <xf numFmtId="0" fontId="2" fillId="30" borderId="4" xfId="72" applyFont="1" applyFill="1" applyBorder="1"/>
    <xf numFmtId="0" fontId="2" fillId="0" borderId="4" xfId="72" applyFont="1" applyBorder="1"/>
    <xf numFmtId="0" fontId="2" fillId="0" borderId="4" xfId="72" applyFont="1" applyBorder="1" applyAlignment="1">
      <alignment horizontal="center" vertical="center"/>
    </xf>
    <xf numFmtId="42" fontId="2" fillId="0" borderId="4" xfId="74" applyNumberFormat="1" applyFont="1" applyBorder="1"/>
    <xf numFmtId="49" fontId="2" fillId="0" borderId="4" xfId="72" applyNumberFormat="1" applyFont="1" applyBorder="1"/>
    <xf numFmtId="0" fontId="2" fillId="30" borderId="4" xfId="72" applyFont="1" applyFill="1" applyBorder="1" applyAlignment="1">
      <alignment wrapText="1"/>
    </xf>
    <xf numFmtId="0" fontId="2" fillId="0" borderId="4" xfId="72" applyFont="1" applyBorder="1" applyAlignment="1" applyProtection="1">
      <alignment horizontal="center" vertical="center"/>
      <protection locked="0"/>
    </xf>
    <xf numFmtId="42" fontId="2" fillId="0" borderId="4" xfId="74" applyNumberFormat="1" applyFont="1" applyBorder="1" applyProtection="1">
      <protection locked="0"/>
    </xf>
    <xf numFmtId="37" fontId="0" fillId="17" borderId="0" xfId="0" applyNumberFormat="1" applyFill="1" applyAlignment="1">
      <alignment horizontal="center"/>
    </xf>
    <xf numFmtId="0" fontId="0" fillId="17" borderId="0" xfId="0" applyFill="1" applyAlignment="1">
      <alignment horizontal="center"/>
    </xf>
    <xf numFmtId="0" fontId="27" fillId="14" borderId="6" xfId="0" applyFont="1" applyFill="1" applyBorder="1" applyAlignment="1">
      <alignment horizontal="center"/>
    </xf>
    <xf numFmtId="0" fontId="27" fillId="14" borderId="7" xfId="0" applyFont="1" applyFill="1" applyBorder="1" applyAlignment="1">
      <alignment horizontal="center"/>
    </xf>
    <xf numFmtId="0" fontId="27" fillId="14" borderId="27" xfId="0" applyFont="1" applyFill="1" applyBorder="1" applyAlignment="1">
      <alignment horizontal="center"/>
    </xf>
    <xf numFmtId="0" fontId="12" fillId="15" borderId="6" xfId="0" applyFont="1" applyFill="1" applyBorder="1" applyAlignment="1">
      <alignment horizontal="center"/>
    </xf>
    <xf numFmtId="0" fontId="12" fillId="15" borderId="7" xfId="0" applyFont="1" applyFill="1" applyBorder="1" applyAlignment="1">
      <alignment horizontal="center"/>
    </xf>
    <xf numFmtId="0" fontId="12" fillId="15" borderId="27" xfId="0" applyFont="1" applyFill="1" applyBorder="1" applyAlignment="1">
      <alignment horizontal="center"/>
    </xf>
    <xf numFmtId="0" fontId="56" fillId="33" borderId="7" xfId="72" applyFont="1" applyFill="1" applyBorder="1" applyAlignment="1">
      <alignment horizontal="center" vertical="center"/>
    </xf>
    <xf numFmtId="0" fontId="27" fillId="3" borderId="88" xfId="72" applyFont="1" applyFill="1" applyBorder="1" applyAlignment="1">
      <alignment horizontal="center" vertical="center"/>
    </xf>
    <xf numFmtId="0" fontId="0" fillId="0" borderId="18" xfId="0" applyBorder="1" applyAlignment="1">
      <alignment horizontal="center" vertical="center"/>
    </xf>
    <xf numFmtId="0" fontId="27" fillId="3" borderId="3" xfId="72" applyFont="1" applyFill="1" applyBorder="1" applyAlignment="1">
      <alignment horizontal="center" vertical="center"/>
    </xf>
    <xf numFmtId="0" fontId="0" fillId="0" borderId="5" xfId="0" applyBorder="1" applyAlignment="1">
      <alignment horizontal="center" vertical="center"/>
    </xf>
    <xf numFmtId="0" fontId="8" fillId="6" borderId="102" xfId="0" applyFont="1" applyFill="1" applyBorder="1" applyAlignment="1">
      <alignment horizontal="right" vertical="center" wrapText="1"/>
    </xf>
    <xf numFmtId="0" fontId="8" fillId="6" borderId="103" xfId="0" applyFont="1" applyFill="1" applyBorder="1" applyAlignment="1">
      <alignment horizontal="right" vertical="center" wrapText="1"/>
    </xf>
    <xf numFmtId="0" fontId="34" fillId="0" borderId="3" xfId="0" applyFont="1" applyBorder="1" applyAlignment="1">
      <alignment horizontal="left" vertical="center" wrapText="1"/>
    </xf>
    <xf numFmtId="0" fontId="34" fillId="0" borderId="11" xfId="0" applyFont="1" applyBorder="1" applyAlignment="1">
      <alignment horizontal="left" vertical="center" wrapText="1"/>
    </xf>
    <xf numFmtId="0" fontId="34" fillId="0" borderId="5" xfId="0" applyFont="1" applyBorder="1" applyAlignment="1">
      <alignment horizontal="left" vertical="center" wrapText="1"/>
    </xf>
    <xf numFmtId="0" fontId="43" fillId="7" borderId="3" xfId="0" applyFont="1" applyFill="1" applyBorder="1" applyAlignment="1">
      <alignment vertical="center" wrapText="1"/>
    </xf>
    <xf numFmtId="0" fontId="44" fillId="0" borderId="11" xfId="0" applyFont="1" applyBorder="1" applyAlignment="1">
      <alignment vertical="center" wrapText="1"/>
    </xf>
    <xf numFmtId="0" fontId="44" fillId="0" borderId="5" xfId="0" applyFont="1" applyBorder="1" applyAlignment="1">
      <alignment vertical="center" wrapText="1"/>
    </xf>
    <xf numFmtId="0" fontId="43" fillId="7" borderId="3" xfId="0" applyFont="1" applyFill="1" applyBorder="1" applyAlignment="1" applyProtection="1">
      <alignment vertical="center" wrapText="1"/>
      <protection locked="0"/>
    </xf>
    <xf numFmtId="0" fontId="44" fillId="0" borderId="11" xfId="0" applyFont="1" applyBorder="1" applyAlignment="1" applyProtection="1">
      <alignment vertical="center" wrapText="1"/>
      <protection locked="0"/>
    </xf>
    <xf numFmtId="0" fontId="44" fillId="0" borderId="5" xfId="0" applyFont="1" applyBorder="1" applyAlignment="1" applyProtection="1">
      <alignment vertical="center" wrapText="1"/>
      <protection locked="0"/>
    </xf>
    <xf numFmtId="0" fontId="7" fillId="7" borderId="3" xfId="0" applyFont="1" applyFill="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5" xfId="0" applyBorder="1" applyAlignment="1" applyProtection="1">
      <alignment vertical="center" wrapText="1"/>
      <protection locked="0"/>
    </xf>
    <xf numFmtId="0" fontId="7" fillId="38" borderId="15" xfId="0" applyFont="1" applyFill="1" applyBorder="1" applyAlignment="1">
      <alignment horizontal="left" vertical="center" wrapText="1"/>
    </xf>
    <xf numFmtId="0" fontId="7" fillId="38" borderId="10" xfId="0" applyFont="1" applyFill="1" applyBorder="1" applyAlignment="1">
      <alignment horizontal="left" vertical="center" wrapText="1"/>
    </xf>
    <xf numFmtId="0" fontId="90" fillId="0" borderId="3" xfId="0" applyFont="1" applyBorder="1" applyAlignment="1">
      <alignment horizontal="left" vertical="center" wrapText="1"/>
    </xf>
    <xf numFmtId="0" fontId="90" fillId="0" borderId="11" xfId="0" applyFont="1" applyBorder="1" applyAlignment="1">
      <alignment horizontal="left" vertical="center" wrapText="1"/>
    </xf>
    <xf numFmtId="0" fontId="90" fillId="0" borderId="5" xfId="0" applyFont="1" applyBorder="1" applyAlignment="1">
      <alignment horizontal="left" vertical="center" wrapText="1"/>
    </xf>
    <xf numFmtId="0" fontId="93" fillId="7" borderId="3" xfId="0" applyFont="1" applyFill="1" applyBorder="1" applyAlignment="1">
      <alignment vertical="center" wrapText="1"/>
    </xf>
    <xf numFmtId="0" fontId="94" fillId="0" borderId="11" xfId="0" applyFont="1" applyBorder="1" applyAlignment="1">
      <alignment vertical="center" wrapText="1"/>
    </xf>
    <xf numFmtId="0" fontId="94" fillId="0" borderId="5" xfId="0" applyFont="1" applyBorder="1" applyAlignment="1">
      <alignment vertical="center" wrapText="1"/>
    </xf>
    <xf numFmtId="0" fontId="93" fillId="7" borderId="3" xfId="0" applyFont="1" applyFill="1" applyBorder="1" applyAlignment="1" applyProtection="1">
      <alignment vertical="center" wrapText="1"/>
      <protection locked="0"/>
    </xf>
    <xf numFmtId="0" fontId="94" fillId="0" borderId="11" xfId="0" applyFont="1" applyBorder="1" applyAlignment="1" applyProtection="1">
      <alignment vertical="center" wrapText="1"/>
      <protection locked="0"/>
    </xf>
    <xf numFmtId="0" fontId="94" fillId="0" borderId="5" xfId="0" applyFont="1" applyBorder="1" applyAlignment="1" applyProtection="1">
      <alignment vertical="center" wrapText="1"/>
      <protection locked="0"/>
    </xf>
    <xf numFmtId="0" fontId="92" fillId="7" borderId="3" xfId="0" applyFont="1" applyFill="1" applyBorder="1" applyAlignment="1" applyProtection="1">
      <alignment vertical="center" wrapText="1"/>
      <protection locked="0"/>
    </xf>
    <xf numFmtId="0" fontId="95" fillId="0" borderId="11" xfId="0" applyFont="1" applyBorder="1" applyAlignment="1" applyProtection="1">
      <alignment vertical="center" wrapText="1"/>
      <protection locked="0"/>
    </xf>
    <xf numFmtId="0" fontId="95" fillId="0" borderId="5" xfId="0" applyFont="1" applyBorder="1" applyAlignment="1" applyProtection="1">
      <alignment vertical="center" wrapText="1"/>
      <protection locked="0"/>
    </xf>
    <xf numFmtId="0" fontId="10" fillId="38" borderId="15" xfId="0" applyFont="1" applyFill="1"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horizontal="left" vertical="center" wrapText="1"/>
    </xf>
    <xf numFmtId="0" fontId="2" fillId="0" borderId="245" xfId="0" applyFont="1" applyBorder="1" applyAlignment="1" applyProtection="1">
      <alignment vertical="center" wrapText="1"/>
      <protection locked="0"/>
    </xf>
    <xf numFmtId="0" fontId="0" fillId="0" borderId="11" xfId="0" applyBorder="1" applyAlignment="1">
      <alignment vertical="center" wrapText="1"/>
    </xf>
    <xf numFmtId="0" fontId="0" fillId="0" borderId="5" xfId="0" applyBorder="1" applyAlignment="1">
      <alignment vertical="center" wrapText="1"/>
    </xf>
    <xf numFmtId="0" fontId="5" fillId="3" borderId="83" xfId="0" applyFont="1" applyFill="1" applyBorder="1" applyAlignment="1">
      <alignment horizontal="center" vertical="top" wrapText="1"/>
    </xf>
    <xf numFmtId="0" fontId="5" fillId="3" borderId="84" xfId="0" applyFont="1" applyFill="1" applyBorder="1" applyAlignment="1">
      <alignment horizontal="center" vertical="top" wrapText="1"/>
    </xf>
    <xf numFmtId="0" fontId="8" fillId="6" borderId="101" xfId="0"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5" xfId="0" applyFont="1" applyBorder="1" applyAlignment="1">
      <alignment horizontal="left" vertical="center" wrapText="1"/>
    </xf>
    <xf numFmtId="0" fontId="12" fillId="30" borderId="26" xfId="0" applyFont="1" applyFill="1" applyBorder="1" applyAlignment="1">
      <alignment horizontal="center" vertical="center" wrapText="1"/>
    </xf>
    <xf numFmtId="0" fontId="12" fillId="30" borderId="14" xfId="0" applyFont="1" applyFill="1" applyBorder="1" applyAlignment="1">
      <alignment horizontal="center" vertical="center" wrapText="1"/>
    </xf>
    <xf numFmtId="0" fontId="12" fillId="30" borderId="13" xfId="0" applyFont="1" applyFill="1" applyBorder="1" applyAlignment="1">
      <alignment horizontal="center" vertical="center" wrapText="1"/>
    </xf>
    <xf numFmtId="0" fontId="9" fillId="0" borderId="205"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wrapText="1"/>
    </xf>
    <xf numFmtId="0" fontId="34" fillId="7" borderId="3" xfId="0" applyFont="1" applyFill="1"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8" fillId="6" borderId="20" xfId="0" applyFont="1" applyFill="1" applyBorder="1" applyAlignment="1">
      <alignment horizontal="right" vertical="center" wrapText="1"/>
    </xf>
    <xf numFmtId="0" fontId="8" fillId="6" borderId="2" xfId="0" applyFont="1" applyFill="1" applyBorder="1" applyAlignment="1">
      <alignment horizontal="right" vertical="center" wrapText="1"/>
    </xf>
    <xf numFmtId="0" fontId="7" fillId="38" borderId="16" xfId="0" applyFont="1" applyFill="1" applyBorder="1" applyAlignment="1">
      <alignment horizontal="left" vertical="center" wrapText="1"/>
    </xf>
    <xf numFmtId="0" fontId="34" fillId="0" borderId="150" xfId="0" applyFont="1" applyBorder="1" applyAlignment="1">
      <alignment horizontal="left" vertical="center" wrapText="1"/>
    </xf>
    <xf numFmtId="0" fontId="0" fillId="0" borderId="152" xfId="0" applyBorder="1" applyAlignment="1">
      <alignment horizontal="left" vertical="center" wrapText="1"/>
    </xf>
    <xf numFmtId="0" fontId="0" fillId="0" borderId="199" xfId="0" applyBorder="1" applyAlignment="1">
      <alignment horizontal="left" vertical="center" wrapText="1"/>
    </xf>
    <xf numFmtId="0" fontId="34" fillId="0" borderId="3" xfId="0" applyFont="1" applyBorder="1" applyAlignment="1">
      <alignment vertical="center" wrapText="1"/>
    </xf>
    <xf numFmtId="0" fontId="40" fillId="7" borderId="3" xfId="0" applyFont="1" applyFill="1" applyBorder="1" applyAlignment="1">
      <alignment horizontal="left" vertical="center" wrapText="1"/>
    </xf>
    <xf numFmtId="0" fontId="16" fillId="0" borderId="3" xfId="0" applyFont="1" applyBorder="1" applyAlignment="1">
      <alignment vertical="center" wrapText="1"/>
    </xf>
    <xf numFmtId="0" fontId="16" fillId="0" borderId="11" xfId="0" applyFont="1" applyBorder="1" applyAlignment="1">
      <alignment vertical="center" wrapText="1"/>
    </xf>
    <xf numFmtId="0" fontId="2" fillId="0" borderId="3" xfId="0" applyFont="1" applyBorder="1" applyAlignment="1">
      <alignment vertical="center" wrapText="1"/>
    </xf>
    <xf numFmtId="0" fontId="34" fillId="0" borderId="3" xfId="0" applyFont="1" applyBorder="1" applyAlignment="1" applyProtection="1">
      <alignment vertical="center" wrapText="1"/>
      <protection locked="0"/>
    </xf>
    <xf numFmtId="9" fontId="7" fillId="0" borderId="15" xfId="5" applyFont="1" applyFill="1" applyBorder="1" applyAlignment="1" applyProtection="1">
      <alignment vertical="center" wrapText="1"/>
      <protection locked="0"/>
    </xf>
    <xf numFmtId="0" fontId="2" fillId="0" borderId="10" xfId="0" applyFont="1" applyBorder="1" applyAlignment="1">
      <alignment vertical="center" wrapText="1"/>
    </xf>
    <xf numFmtId="0" fontId="2" fillId="0" borderId="201" xfId="0" applyFont="1" applyBorder="1" applyAlignment="1">
      <alignment vertical="center" wrapText="1"/>
    </xf>
    <xf numFmtId="0" fontId="34" fillId="0" borderId="152" xfId="0" applyFont="1" applyBorder="1" applyAlignment="1">
      <alignment horizontal="left" vertical="center" wrapText="1"/>
    </xf>
    <xf numFmtId="0" fontId="34" fillId="0" borderId="152" xfId="0" applyFont="1" applyBorder="1" applyAlignment="1" applyProtection="1">
      <alignment horizontal="center" vertical="center" wrapText="1"/>
      <protection locked="0"/>
    </xf>
    <xf numFmtId="9" fontId="7" fillId="0" borderId="10" xfId="5" applyFont="1" applyFill="1" applyBorder="1" applyAlignment="1" applyProtection="1">
      <alignment vertical="center" wrapText="1"/>
      <protection locked="0"/>
    </xf>
    <xf numFmtId="0" fontId="0" fillId="0" borderId="10" xfId="0" applyBorder="1" applyAlignment="1" applyProtection="1">
      <alignment vertical="center" wrapText="1"/>
      <protection locked="0"/>
    </xf>
    <xf numFmtId="0" fontId="34" fillId="0" borderId="150" xfId="0" applyFont="1" applyBorder="1" applyAlignment="1">
      <alignment vertical="center" wrapText="1"/>
    </xf>
    <xf numFmtId="0" fontId="0" fillId="0" borderId="194" xfId="0" applyBorder="1" applyAlignment="1">
      <alignment vertical="center" wrapText="1"/>
    </xf>
    <xf numFmtId="0" fontId="34" fillId="0" borderId="206" xfId="0" applyFont="1" applyBorder="1" applyAlignment="1">
      <alignment horizontal="left" vertical="center" wrapText="1"/>
    </xf>
    <xf numFmtId="0" fontId="34" fillId="0" borderId="206" xfId="0" applyFont="1" applyBorder="1" applyAlignment="1" applyProtection="1">
      <alignment horizontal="center" vertical="center" wrapText="1"/>
      <protection locked="0"/>
    </xf>
    <xf numFmtId="0" fontId="0" fillId="0" borderId="21" xfId="0" applyBorder="1" applyAlignment="1" applyProtection="1">
      <alignment vertical="center" wrapText="1"/>
      <protection locked="0"/>
    </xf>
    <xf numFmtId="9" fontId="7" fillId="0" borderId="21" xfId="5" applyFont="1" applyFill="1" applyBorder="1" applyAlignment="1" applyProtection="1">
      <alignment vertical="center" wrapText="1"/>
      <protection locked="0"/>
    </xf>
    <xf numFmtId="0" fontId="7" fillId="7" borderId="11" xfId="0" applyFont="1" applyFill="1" applyBorder="1" applyAlignment="1" applyProtection="1">
      <alignment vertical="center" wrapText="1"/>
      <protection locked="0"/>
    </xf>
    <xf numFmtId="0" fontId="0" fillId="0" borderId="21" xfId="0" applyBorder="1" applyAlignment="1">
      <alignment vertical="center" wrapText="1"/>
    </xf>
    <xf numFmtId="0" fontId="34" fillId="0" borderId="4" xfId="0" applyFont="1" applyBorder="1" applyAlignment="1">
      <alignment horizontal="left" vertical="center" wrapText="1"/>
    </xf>
    <xf numFmtId="0" fontId="43" fillId="7" borderId="3" xfId="0" applyFont="1" applyFill="1" applyBorder="1" applyAlignment="1">
      <alignment horizontal="left" vertical="center" wrapText="1"/>
    </xf>
    <xf numFmtId="0" fontId="43" fillId="7" borderId="11" xfId="0" applyFont="1" applyFill="1" applyBorder="1" applyAlignment="1">
      <alignment horizontal="left" vertical="center" wrapText="1"/>
    </xf>
    <xf numFmtId="0" fontId="43" fillId="0" borderId="11" xfId="0" applyFont="1" applyBorder="1" applyAlignment="1">
      <alignment horizontal="left" vertical="center" wrapText="1"/>
    </xf>
    <xf numFmtId="0" fontId="43" fillId="0" borderId="5" xfId="0" applyFont="1" applyBorder="1" applyAlignment="1">
      <alignment horizontal="left" vertical="center" wrapText="1"/>
    </xf>
    <xf numFmtId="0" fontId="0" fillId="38" borderId="10" xfId="0" applyFill="1" applyBorder="1" applyAlignment="1">
      <alignment horizontal="left" vertical="center" wrapText="1"/>
    </xf>
    <xf numFmtId="0" fontId="0" fillId="0" borderId="15" xfId="0" applyBorder="1" applyAlignment="1">
      <alignment vertical="center" wrapText="1"/>
    </xf>
    <xf numFmtId="0" fontId="0" fillId="0" borderId="10" xfId="0" applyBorder="1" applyAlignment="1">
      <alignment vertical="center" wrapText="1"/>
    </xf>
    <xf numFmtId="0" fontId="2" fillId="0" borderId="15"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16" fillId="0" borderId="11" xfId="0" applyFont="1" applyBorder="1" applyAlignment="1">
      <alignment horizontal="left" vertical="center" wrapText="1"/>
    </xf>
    <xf numFmtId="0" fontId="16" fillId="0" borderId="5" xfId="0" applyFont="1" applyBorder="1" applyAlignment="1">
      <alignment horizontal="left" vertical="center" wrapText="1"/>
    </xf>
    <xf numFmtId="0" fontId="44" fillId="0" borderId="245" xfId="0" applyFont="1" applyBorder="1" applyAlignment="1" applyProtection="1">
      <alignment vertical="center" wrapText="1"/>
      <protection locked="0"/>
    </xf>
    <xf numFmtId="0" fontId="0" fillId="0" borderId="242" xfId="0" applyBorder="1" applyAlignment="1">
      <alignment vertical="center" wrapText="1"/>
    </xf>
    <xf numFmtId="0" fontId="7" fillId="0" borderId="3" xfId="0" applyFont="1" applyBorder="1" applyAlignment="1" applyProtection="1">
      <alignment vertical="center" wrapText="1"/>
      <protection locked="0"/>
    </xf>
    <xf numFmtId="0" fontId="7" fillId="0" borderId="3" xfId="0" applyFont="1" applyBorder="1" applyAlignment="1">
      <alignment horizontal="left" vertical="center" wrapText="1"/>
    </xf>
    <xf numFmtId="165" fontId="51" fillId="33" borderId="4" xfId="1" applyNumberFormat="1" applyFont="1" applyFill="1" applyBorder="1" applyAlignment="1">
      <alignment horizontal="center" vertical="center" wrapText="1"/>
    </xf>
    <xf numFmtId="165" fontId="51" fillId="33" borderId="1" xfId="1" applyNumberFormat="1" applyFont="1" applyFill="1" applyBorder="1" applyAlignment="1">
      <alignment horizontal="center" vertical="center" wrapText="1"/>
    </xf>
    <xf numFmtId="165" fontId="51" fillId="33" borderId="2" xfId="1" applyNumberFormat="1" applyFont="1" applyFill="1" applyBorder="1" applyAlignment="1">
      <alignment horizontal="center" vertical="center" wrapText="1"/>
    </xf>
    <xf numFmtId="165" fontId="51" fillId="33" borderId="158" xfId="1" applyNumberFormat="1" applyFont="1" applyFill="1" applyBorder="1" applyAlignment="1">
      <alignment horizontal="center" vertical="center" wrapText="1"/>
    </xf>
    <xf numFmtId="0" fontId="51" fillId="33" borderId="3" xfId="12" applyFont="1" applyFill="1" applyBorder="1" applyAlignment="1">
      <alignment horizontal="left" vertical="center" wrapText="1" indent="1"/>
    </xf>
    <xf numFmtId="0" fontId="51" fillId="33" borderId="5" xfId="12" applyFont="1" applyFill="1" applyBorder="1" applyAlignment="1">
      <alignment horizontal="left" vertical="center" wrapText="1" indent="1"/>
    </xf>
    <xf numFmtId="0" fontId="51" fillId="33" borderId="4" xfId="12" applyFont="1" applyFill="1" applyBorder="1" applyAlignment="1">
      <alignment horizontal="center" vertical="center" wrapText="1"/>
    </xf>
    <xf numFmtId="0" fontId="51" fillId="33" borderId="3" xfId="12" applyFont="1" applyFill="1" applyBorder="1" applyAlignment="1">
      <alignment horizontal="center" vertical="center" wrapText="1"/>
    </xf>
    <xf numFmtId="0" fontId="51" fillId="33" borderId="5" xfId="12" applyFont="1" applyFill="1" applyBorder="1" applyAlignment="1">
      <alignment horizontal="center" vertical="center" wrapText="1"/>
    </xf>
    <xf numFmtId="165" fontId="51" fillId="33" borderId="3" xfId="1" applyNumberFormat="1" applyFont="1" applyFill="1" applyBorder="1" applyAlignment="1">
      <alignment horizontal="center" vertical="center" wrapText="1"/>
    </xf>
    <xf numFmtId="165" fontId="51" fillId="33" borderId="5" xfId="1" applyNumberFormat="1" applyFont="1" applyFill="1" applyBorder="1" applyAlignment="1">
      <alignment horizontal="center" vertical="center" wrapText="1"/>
    </xf>
    <xf numFmtId="43" fontId="49" fillId="0" borderId="60" xfId="0" applyNumberFormat="1" applyFont="1" applyBorder="1" applyAlignment="1">
      <alignment horizontal="center" vertical="center" wrapText="1"/>
    </xf>
    <xf numFmtId="43" fontId="49" fillId="0" borderId="46" xfId="0" applyNumberFormat="1" applyFont="1" applyBorder="1" applyAlignment="1">
      <alignment horizontal="center" vertical="center" wrapText="1"/>
    </xf>
    <xf numFmtId="43" fontId="46" fillId="11" borderId="129" xfId="0" applyNumberFormat="1" applyFont="1" applyFill="1" applyBorder="1" applyAlignment="1" applyProtection="1">
      <alignment horizontal="left" vertical="center" wrapText="1"/>
      <protection locked="0"/>
    </xf>
    <xf numFmtId="43" fontId="46" fillId="11" borderId="126" xfId="0" applyNumberFormat="1" applyFont="1" applyFill="1" applyBorder="1" applyAlignment="1" applyProtection="1">
      <alignment horizontal="left" vertical="center" wrapText="1"/>
      <protection locked="0"/>
    </xf>
    <xf numFmtId="43" fontId="16" fillId="0" borderId="130" xfId="0" applyNumberFormat="1" applyFont="1" applyBorder="1" applyAlignment="1" applyProtection="1">
      <alignment horizontal="left" vertical="center" wrapText="1"/>
      <protection locked="0"/>
    </xf>
    <xf numFmtId="43" fontId="46" fillId="11" borderId="124" xfId="0" applyNumberFormat="1" applyFont="1" applyFill="1" applyBorder="1" applyAlignment="1" applyProtection="1">
      <alignment horizontal="left" vertical="center" wrapText="1"/>
      <protection locked="0"/>
    </xf>
    <xf numFmtId="43" fontId="16" fillId="0" borderId="125" xfId="0" applyNumberFormat="1" applyFont="1" applyBorder="1" applyAlignment="1" applyProtection="1">
      <alignment horizontal="left" vertical="center" wrapText="1"/>
      <protection locked="0"/>
    </xf>
    <xf numFmtId="43" fontId="16" fillId="0" borderId="128" xfId="0" applyNumberFormat="1" applyFont="1" applyBorder="1" applyAlignment="1" applyProtection="1">
      <alignment horizontal="left" vertical="center" wrapText="1"/>
      <protection locked="0"/>
    </xf>
    <xf numFmtId="43" fontId="12" fillId="0" borderId="163" xfId="5" applyNumberFormat="1" applyFont="1" applyFill="1" applyBorder="1" applyAlignment="1" applyProtection="1">
      <alignment horizontal="center"/>
    </xf>
    <xf numFmtId="43" fontId="0" fillId="0" borderId="155" xfId="0" applyNumberFormat="1" applyBorder="1" applyAlignment="1">
      <alignment horizontal="center"/>
    </xf>
    <xf numFmtId="43" fontId="51" fillId="0" borderId="60" xfId="5" applyNumberFormat="1" applyFont="1" applyFill="1" applyBorder="1" applyAlignment="1" applyProtection="1">
      <alignment horizontal="center"/>
    </xf>
    <xf numFmtId="43" fontId="0" fillId="0" borderId="46" xfId="0" applyNumberFormat="1" applyBorder="1"/>
    <xf numFmtId="43" fontId="0" fillId="0" borderId="136" xfId="0" applyNumberFormat="1" applyBorder="1"/>
    <xf numFmtId="43" fontId="46" fillId="11" borderId="125" xfId="0" applyNumberFormat="1" applyFont="1" applyFill="1" applyBorder="1" applyAlignment="1" applyProtection="1">
      <alignment horizontal="left" vertical="center" wrapText="1"/>
      <protection locked="0"/>
    </xf>
    <xf numFmtId="43" fontId="0" fillId="0" borderId="60" xfId="0" applyNumberFormat="1" applyBorder="1" applyAlignment="1">
      <alignment horizontal="center"/>
    </xf>
    <xf numFmtId="43" fontId="0" fillId="0" borderId="46" xfId="0" applyNumberFormat="1" applyBorder="1" applyAlignment="1">
      <alignment horizontal="center"/>
    </xf>
    <xf numFmtId="43" fontId="0" fillId="0" borderId="136" xfId="0" applyNumberFormat="1" applyBorder="1" applyAlignment="1">
      <alignment horizontal="center"/>
    </xf>
    <xf numFmtId="43" fontId="12" fillId="4" borderId="132" xfId="0" applyNumberFormat="1" applyFont="1" applyFill="1" applyBorder="1" applyAlignment="1">
      <alignment horizontal="left" vertical="center" wrapText="1"/>
    </xf>
    <xf numFmtId="43" fontId="12" fillId="0" borderId="29" xfId="0" applyNumberFormat="1" applyFont="1" applyBorder="1" applyAlignment="1">
      <alignment horizontal="left" vertical="center" wrapText="1"/>
    </xf>
    <xf numFmtId="43" fontId="12" fillId="0" borderId="131" xfId="0" applyNumberFormat="1" applyFont="1" applyBorder="1" applyAlignment="1">
      <alignment horizontal="left" vertical="center" wrapText="1"/>
    </xf>
    <xf numFmtId="43" fontId="5" fillId="13" borderId="72" xfId="0" applyNumberFormat="1" applyFont="1" applyFill="1" applyBorder="1" applyAlignment="1">
      <alignment horizontal="right" vertical="center" wrapText="1"/>
    </xf>
    <xf numFmtId="43" fontId="60" fillId="0" borderId="71" xfId="0" applyNumberFormat="1" applyFont="1" applyBorder="1" applyAlignment="1">
      <alignment horizontal="right" vertical="center" wrapText="1"/>
    </xf>
    <xf numFmtId="43" fontId="60" fillId="0" borderId="73" xfId="0" applyNumberFormat="1" applyFont="1" applyBorder="1" applyAlignment="1">
      <alignment horizontal="right" vertical="center" wrapText="1"/>
    </xf>
    <xf numFmtId="43" fontId="40" fillId="11" borderId="125" xfId="0" applyNumberFormat="1" applyFont="1" applyFill="1" applyBorder="1" applyAlignment="1" applyProtection="1">
      <alignment horizontal="left" vertical="center" wrapText="1"/>
      <protection locked="0"/>
    </xf>
    <xf numFmtId="43" fontId="40" fillId="11" borderId="126" xfId="0" applyNumberFormat="1" applyFont="1" applyFill="1" applyBorder="1" applyAlignment="1" applyProtection="1">
      <alignment horizontal="left" vertical="center" wrapText="1"/>
      <protection locked="0"/>
    </xf>
    <xf numFmtId="43" fontId="0" fillId="0" borderId="167" xfId="0" applyNumberFormat="1" applyBorder="1" applyAlignment="1">
      <alignment horizontal="center"/>
    </xf>
    <xf numFmtId="43" fontId="12" fillId="0" borderId="60" xfId="5" applyNumberFormat="1" applyFont="1" applyFill="1" applyBorder="1" applyAlignment="1" applyProtection="1">
      <alignment horizontal="center"/>
    </xf>
    <xf numFmtId="43" fontId="46" fillId="11" borderId="127" xfId="0" applyNumberFormat="1" applyFont="1" applyFill="1" applyBorder="1" applyAlignment="1" applyProtection="1">
      <alignment horizontal="left" vertical="center" wrapText="1"/>
      <protection locked="0"/>
    </xf>
    <xf numFmtId="43" fontId="0" fillId="0" borderId="125" xfId="0" applyNumberFormat="1" applyBorder="1" applyAlignment="1" applyProtection="1">
      <alignment horizontal="left" vertical="center"/>
      <protection locked="0"/>
    </xf>
    <xf numFmtId="43" fontId="0" fillId="0" borderId="128" xfId="0" applyNumberFormat="1" applyBorder="1" applyAlignment="1" applyProtection="1">
      <alignment horizontal="left" vertical="center"/>
      <protection locked="0"/>
    </xf>
    <xf numFmtId="43" fontId="12" fillId="0" borderId="60" xfId="0" applyNumberFormat="1" applyFont="1" applyBorder="1" applyAlignment="1">
      <alignment horizontal="center"/>
    </xf>
    <xf numFmtId="43" fontId="46" fillId="11" borderId="130" xfId="0" applyNumberFormat="1" applyFont="1" applyFill="1" applyBorder="1" applyAlignment="1" applyProtection="1">
      <alignment horizontal="left" vertical="center" wrapText="1"/>
      <protection locked="0"/>
    </xf>
    <xf numFmtId="0" fontId="46" fillId="11" borderId="124" xfId="0" applyFont="1" applyFill="1" applyBorder="1" applyAlignment="1" applyProtection="1">
      <alignment horizontal="left" vertical="center" wrapText="1"/>
      <protection locked="0"/>
    </xf>
    <xf numFmtId="0" fontId="46" fillId="11" borderId="125" xfId="0" applyFont="1" applyFill="1" applyBorder="1" applyAlignment="1" applyProtection="1">
      <alignment horizontal="left" vertical="center" wrapText="1"/>
      <protection locked="0"/>
    </xf>
    <xf numFmtId="0" fontId="46" fillId="11" borderId="126" xfId="0" applyFont="1" applyFill="1" applyBorder="1" applyAlignment="1" applyProtection="1">
      <alignment horizontal="left" vertical="center" wrapText="1"/>
      <protection locked="0"/>
    </xf>
    <xf numFmtId="9" fontId="12" fillId="0" borderId="60" xfId="5" applyFont="1" applyFill="1" applyBorder="1" applyAlignment="1" applyProtection="1">
      <alignment horizontal="center"/>
    </xf>
    <xf numFmtId="0" fontId="0" fillId="0" borderId="46" xfId="0" applyBorder="1" applyAlignment="1">
      <alignment horizontal="center"/>
    </xf>
    <xf numFmtId="0" fontId="5" fillId="3" borderId="77" xfId="12" applyFont="1" applyFill="1" applyBorder="1" applyAlignment="1" applyProtection="1">
      <alignment horizontal="center" vertical="center" wrapText="1"/>
    </xf>
    <xf numFmtId="0" fontId="5" fillId="3" borderId="76" xfId="12" applyFont="1" applyFill="1" applyBorder="1" applyAlignment="1" applyProtection="1">
      <alignment horizontal="center" vertical="center" wrapText="1"/>
    </xf>
    <xf numFmtId="0" fontId="5" fillId="3" borderId="17" xfId="12" applyFont="1" applyFill="1" applyBorder="1" applyAlignment="1" applyProtection="1">
      <alignment horizontal="center" vertical="top" wrapText="1"/>
    </xf>
    <xf numFmtId="0" fontId="2" fillId="0" borderId="55" xfId="0" applyFont="1" applyBorder="1" applyAlignment="1">
      <alignment horizontal="center" vertical="top" wrapText="1"/>
    </xf>
    <xf numFmtId="0" fontId="16" fillId="0" borderId="125" xfId="0" applyFont="1" applyBorder="1" applyAlignment="1" applyProtection="1">
      <alignment horizontal="left" vertical="center" wrapText="1"/>
      <protection locked="0"/>
    </xf>
    <xf numFmtId="0" fontId="16" fillId="0" borderId="126" xfId="0" applyFont="1" applyBorder="1" applyAlignment="1" applyProtection="1">
      <alignment horizontal="left" vertical="center" wrapText="1"/>
      <protection locked="0"/>
    </xf>
    <xf numFmtId="9" fontId="12" fillId="0" borderId="163" xfId="5" applyFont="1" applyFill="1" applyBorder="1" applyAlignment="1" applyProtection="1">
      <alignment horizontal="center" wrapText="1"/>
    </xf>
    <xf numFmtId="0" fontId="0" fillId="0" borderId="155" xfId="0" applyBorder="1" applyAlignment="1">
      <alignment horizontal="center" wrapText="1"/>
    </xf>
    <xf numFmtId="9" fontId="51" fillId="0" borderId="60" xfId="5" applyFont="1" applyFill="1" applyBorder="1" applyAlignment="1" applyProtection="1">
      <alignment horizontal="center" wrapText="1"/>
    </xf>
    <xf numFmtId="0" fontId="0" fillId="0" borderId="46" xfId="0" applyBorder="1" applyAlignment="1">
      <alignment wrapText="1"/>
    </xf>
    <xf numFmtId="0" fontId="0" fillId="0" borderId="136" xfId="0" applyBorder="1" applyAlignment="1">
      <alignment wrapText="1"/>
    </xf>
    <xf numFmtId="0" fontId="40" fillId="11" borderId="124" xfId="0" applyFont="1" applyFill="1" applyBorder="1" applyAlignment="1" applyProtection="1">
      <alignment horizontal="left" vertical="center" wrapText="1"/>
      <protection locked="0"/>
    </xf>
    <xf numFmtId="9" fontId="12" fillId="0" borderId="43" xfId="5" applyFont="1" applyFill="1" applyBorder="1" applyAlignment="1" applyProtection="1">
      <alignment horizontal="center" wrapText="1"/>
    </xf>
    <xf numFmtId="0" fontId="0" fillId="0" borderId="0" xfId="0" applyAlignment="1">
      <alignment horizontal="center" wrapText="1"/>
    </xf>
    <xf numFmtId="0" fontId="0" fillId="0" borderId="161" xfId="0" applyBorder="1" applyAlignment="1">
      <alignment horizontal="center" wrapText="1"/>
    </xf>
    <xf numFmtId="0" fontId="40" fillId="11" borderId="127" xfId="0" applyFont="1" applyFill="1" applyBorder="1" applyAlignment="1" applyProtection="1">
      <alignment horizontal="left" vertical="center" wrapText="1"/>
      <protection locked="0"/>
    </xf>
    <xf numFmtId="0" fontId="40" fillId="11" borderId="125" xfId="0" applyFont="1" applyFill="1" applyBorder="1" applyAlignment="1" applyProtection="1">
      <alignment horizontal="left" vertical="center" wrapText="1"/>
      <protection locked="0"/>
    </xf>
    <xf numFmtId="0" fontId="40" fillId="11" borderId="126" xfId="0" applyFont="1" applyFill="1" applyBorder="1" applyAlignment="1" applyProtection="1">
      <alignment horizontal="left" vertical="center" wrapText="1"/>
      <protection locked="0"/>
    </xf>
    <xf numFmtId="0" fontId="5" fillId="3" borderId="17" xfId="12" applyFont="1" applyFill="1" applyBorder="1" applyAlignment="1" applyProtection="1">
      <alignment horizontal="center" vertical="center" wrapText="1"/>
    </xf>
    <xf numFmtId="0" fontId="0" fillId="0" borderId="19" xfId="0" applyBorder="1" applyAlignment="1">
      <alignment horizontal="center" vertical="center" wrapText="1"/>
    </xf>
    <xf numFmtId="0" fontId="5" fillId="3" borderId="141" xfId="12" applyFont="1" applyFill="1" applyBorder="1" applyAlignment="1" applyProtection="1">
      <alignment horizontal="center" vertical="center" wrapText="1"/>
    </xf>
    <xf numFmtId="0" fontId="0" fillId="0" borderId="111" xfId="0" applyBorder="1" applyAlignment="1">
      <alignment horizontal="center" vertical="center" wrapText="1"/>
    </xf>
    <xf numFmtId="0" fontId="5" fillId="3" borderId="142" xfId="12" applyFont="1" applyFill="1" applyBorder="1" applyAlignment="1" applyProtection="1">
      <alignment horizontal="center" vertical="center" wrapText="1"/>
    </xf>
    <xf numFmtId="0" fontId="0" fillId="0" borderId="53" xfId="0" applyBorder="1" applyAlignment="1">
      <alignment horizontal="center" vertical="center" wrapText="1"/>
    </xf>
    <xf numFmtId="0" fontId="5" fillId="3" borderId="143" xfId="12" applyFont="1" applyFill="1" applyBorder="1" applyAlignment="1" applyProtection="1">
      <alignment horizontal="center" vertical="center" wrapText="1"/>
    </xf>
    <xf numFmtId="0" fontId="5" fillId="3" borderId="54" xfId="12" applyFont="1" applyFill="1" applyBorder="1" applyAlignment="1" applyProtection="1">
      <alignment horizontal="center" vertical="center" wrapText="1"/>
    </xf>
    <xf numFmtId="0" fontId="5" fillId="3" borderId="144" xfId="12" applyFont="1" applyFill="1" applyBorder="1" applyAlignment="1" applyProtection="1">
      <alignment horizontal="center" vertical="center" wrapText="1"/>
    </xf>
    <xf numFmtId="0" fontId="5" fillId="3" borderId="44" xfId="12" applyFont="1" applyFill="1" applyBorder="1" applyAlignment="1" applyProtection="1">
      <alignment horizontal="center" vertical="center" wrapText="1"/>
    </xf>
    <xf numFmtId="0" fontId="5" fillId="3" borderId="145" xfId="12" applyFont="1" applyFill="1" applyBorder="1" applyAlignment="1" applyProtection="1">
      <alignment horizontal="center" vertical="center" wrapText="1"/>
    </xf>
    <xf numFmtId="0" fontId="5" fillId="3" borderId="36" xfId="12" applyFont="1" applyFill="1" applyBorder="1" applyAlignment="1" applyProtection="1">
      <alignment horizontal="center" vertical="center" wrapText="1"/>
    </xf>
    <xf numFmtId="9" fontId="12" fillId="0" borderId="163" xfId="5" applyFont="1" applyFill="1" applyBorder="1" applyAlignment="1" applyProtection="1">
      <alignment horizontal="center"/>
    </xf>
    <xf numFmtId="0" fontId="0" fillId="0" borderId="155" xfId="0" applyBorder="1" applyAlignment="1">
      <alignment horizontal="center"/>
    </xf>
    <xf numFmtId="0" fontId="0" fillId="0" borderId="167" xfId="0" applyBorder="1" applyAlignment="1">
      <alignment horizontal="center"/>
    </xf>
    <xf numFmtId="9" fontId="12" fillId="0" borderId="60" xfId="0" applyNumberFormat="1" applyFont="1" applyBorder="1" applyAlignment="1">
      <alignment horizontal="center"/>
    </xf>
    <xf numFmtId="9" fontId="49" fillId="0" borderId="60" xfId="0" applyNumberFormat="1" applyFont="1" applyBorder="1" applyAlignment="1">
      <alignment horizontal="center" vertical="center" wrapText="1"/>
    </xf>
    <xf numFmtId="9" fontId="49" fillId="0" borderId="46" xfId="0" applyNumberFormat="1" applyFont="1" applyBorder="1" applyAlignment="1">
      <alignment horizontal="center" vertical="center" wrapText="1"/>
    </xf>
    <xf numFmtId="9" fontId="51" fillId="0" borderId="60" xfId="5" applyFont="1" applyFill="1" applyBorder="1" applyAlignment="1" applyProtection="1">
      <alignment horizontal="center"/>
    </xf>
    <xf numFmtId="0" fontId="0" fillId="0" borderId="46" xfId="0" applyBorder="1"/>
    <xf numFmtId="0" fontId="0" fillId="0" borderId="136" xfId="0" applyBorder="1"/>
    <xf numFmtId="0" fontId="0" fillId="0" borderId="60" xfId="0" applyBorder="1" applyAlignment="1">
      <alignment horizontal="center"/>
    </xf>
    <xf numFmtId="0" fontId="0" fillId="0" borderId="136" xfId="0" applyBorder="1" applyAlignment="1">
      <alignment horizontal="center"/>
    </xf>
    <xf numFmtId="0" fontId="46" fillId="11" borderId="129" xfId="0" applyFont="1" applyFill="1" applyBorder="1" applyAlignment="1" applyProtection="1">
      <alignment horizontal="left" vertical="center" wrapText="1"/>
      <protection locked="0"/>
    </xf>
    <xf numFmtId="0" fontId="16" fillId="0" borderId="130" xfId="0" applyFont="1" applyBorder="1" applyAlignment="1" applyProtection="1">
      <alignment horizontal="left" vertical="center" wrapText="1"/>
      <protection locked="0"/>
    </xf>
    <xf numFmtId="0" fontId="12" fillId="4" borderId="132"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131" xfId="0" applyFont="1" applyBorder="1" applyAlignment="1">
      <alignment horizontal="left" vertical="center" wrapText="1"/>
    </xf>
    <xf numFmtId="0" fontId="5" fillId="13" borderId="72" xfId="0" applyFont="1" applyFill="1" applyBorder="1" applyAlignment="1">
      <alignment horizontal="right" vertical="center" wrapText="1"/>
    </xf>
    <xf numFmtId="0" fontId="60" fillId="0" borderId="71" xfId="0" applyFont="1" applyBorder="1" applyAlignment="1">
      <alignment horizontal="right" vertical="center" wrapText="1"/>
    </xf>
    <xf numFmtId="0" fontId="60" fillId="0" borderId="73" xfId="0" applyFont="1" applyBorder="1" applyAlignment="1">
      <alignment horizontal="right" vertical="center" wrapText="1"/>
    </xf>
    <xf numFmtId="0" fontId="16" fillId="0" borderId="128" xfId="0" applyFont="1" applyBorder="1" applyAlignment="1" applyProtection="1">
      <alignment horizontal="left" vertical="center" wrapText="1"/>
      <protection locked="0"/>
    </xf>
    <xf numFmtId="0" fontId="46" fillId="11" borderId="127" xfId="0" applyFont="1" applyFill="1" applyBorder="1" applyAlignment="1" applyProtection="1">
      <alignment horizontal="left" vertical="center" wrapText="1"/>
      <protection locked="0"/>
    </xf>
    <xf numFmtId="0" fontId="0" fillId="0" borderId="125" xfId="0" applyBorder="1" applyAlignment="1" applyProtection="1">
      <alignment horizontal="left" vertical="center"/>
      <protection locked="0"/>
    </xf>
    <xf numFmtId="0" fontId="0" fillId="0" borderId="128" xfId="0" applyBorder="1" applyAlignment="1" applyProtection="1">
      <alignment horizontal="left" vertical="center"/>
      <protection locked="0"/>
    </xf>
    <xf numFmtId="0" fontId="46" fillId="11" borderId="130" xfId="0" applyFont="1" applyFill="1" applyBorder="1" applyAlignment="1" applyProtection="1">
      <alignment horizontal="left" vertical="center" wrapText="1"/>
      <protection locked="0"/>
    </xf>
    <xf numFmtId="0" fontId="12" fillId="4" borderId="29" xfId="0" applyFont="1" applyFill="1" applyBorder="1" applyAlignment="1">
      <alignment horizontal="left" vertical="center" wrapText="1"/>
    </xf>
    <xf numFmtId="0" fontId="2" fillId="30" borderId="125" xfId="0" applyFont="1" applyFill="1" applyBorder="1" applyAlignment="1" applyProtection="1">
      <alignment horizontal="left" vertical="center"/>
      <protection locked="0"/>
    </xf>
    <xf numFmtId="0" fontId="0" fillId="30" borderId="125" xfId="0" applyFill="1" applyBorder="1" applyAlignment="1" applyProtection="1">
      <alignment horizontal="left" vertical="center"/>
      <protection locked="0"/>
    </xf>
    <xf numFmtId="0" fontId="0" fillId="30" borderId="128" xfId="0" applyFill="1" applyBorder="1" applyAlignment="1" applyProtection="1">
      <alignment horizontal="left" vertical="center"/>
      <protection locked="0"/>
    </xf>
    <xf numFmtId="9" fontId="12" fillId="0" borderId="46" xfId="0" applyNumberFormat="1" applyFont="1" applyBorder="1" applyAlignment="1">
      <alignment horizontal="center"/>
    </xf>
    <xf numFmtId="0" fontId="28" fillId="41" borderId="84"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0" fillId="0" borderId="14" xfId="0" applyBorder="1" applyAlignment="1">
      <alignment horizontal="center" vertical="center"/>
    </xf>
    <xf numFmtId="0" fontId="7" fillId="9" borderId="3" xfId="0" applyFont="1" applyFill="1" applyBorder="1" applyAlignment="1">
      <alignment horizontal="center" vertical="center" wrapText="1"/>
    </xf>
    <xf numFmtId="0" fontId="0" fillId="0" borderId="11" xfId="0" applyBorder="1" applyAlignment="1">
      <alignment horizontal="center" vertical="center"/>
    </xf>
    <xf numFmtId="0" fontId="28" fillId="40" borderId="83" xfId="0" applyFont="1" applyFill="1" applyBorder="1" applyAlignment="1">
      <alignment horizontal="center" vertical="center" wrapText="1"/>
    </xf>
    <xf numFmtId="0" fontId="28" fillId="40" borderId="84" xfId="0" applyFont="1" applyFill="1" applyBorder="1" applyAlignment="1">
      <alignment horizontal="center" vertical="center" wrapText="1"/>
    </xf>
    <xf numFmtId="0" fontId="7" fillId="9" borderId="23" xfId="0" applyFont="1" applyFill="1" applyBorder="1" applyAlignment="1">
      <alignment horizontal="center" vertical="center" wrapText="1"/>
    </xf>
    <xf numFmtId="0" fontId="0" fillId="0" borderId="184" xfId="0" applyBorder="1" applyAlignment="1">
      <alignment horizontal="center" vertical="center"/>
    </xf>
    <xf numFmtId="0" fontId="5" fillId="5" borderId="26" xfId="6" applyFont="1" applyFill="1" applyBorder="1" applyAlignment="1">
      <alignment horizontal="center" vertical="center" wrapText="1"/>
    </xf>
    <xf numFmtId="0" fontId="0" fillId="0" borderId="55" xfId="0" applyBorder="1" applyAlignment="1">
      <alignment horizontal="center"/>
    </xf>
    <xf numFmtId="0" fontId="0" fillId="0" borderId="125" xfId="0" applyBorder="1" applyAlignment="1">
      <alignment horizontal="left" vertical="center" wrapText="1"/>
    </xf>
    <xf numFmtId="0" fontId="0" fillId="0" borderId="128" xfId="0" applyBorder="1" applyAlignment="1">
      <alignment horizontal="left" vertical="center" wrapText="1"/>
    </xf>
    <xf numFmtId="0" fontId="46" fillId="39" borderId="129" xfId="0" applyFont="1" applyFill="1" applyBorder="1" applyAlignment="1" applyProtection="1">
      <alignment horizontal="left" vertical="center" wrapText="1"/>
      <protection locked="0"/>
    </xf>
    <xf numFmtId="0" fontId="16" fillId="39" borderId="130" xfId="0" applyFont="1" applyFill="1" applyBorder="1" applyAlignment="1" applyProtection="1">
      <alignment horizontal="left" vertical="center" wrapText="1"/>
      <protection locked="0"/>
    </xf>
    <xf numFmtId="0" fontId="12" fillId="0" borderId="132" xfId="0" applyFont="1" applyBorder="1" applyAlignment="1">
      <alignment horizontal="left" vertical="center" wrapText="1"/>
    </xf>
    <xf numFmtId="169" fontId="8" fillId="0" borderId="60" xfId="4" applyNumberFormat="1" applyFont="1" applyFill="1" applyBorder="1" applyAlignment="1" applyProtection="1">
      <alignment vertical="center" wrapText="1"/>
    </xf>
    <xf numFmtId="0" fontId="81" fillId="11" borderId="124" xfId="0" applyFont="1" applyFill="1" applyBorder="1" applyAlignment="1" applyProtection="1">
      <alignment horizontal="left" vertical="center" wrapText="1"/>
      <protection locked="0"/>
    </xf>
    <xf numFmtId="0" fontId="5" fillId="3" borderId="0" xfId="12" applyFont="1" applyFill="1" applyBorder="1" applyAlignment="1" applyProtection="1">
      <alignment horizontal="center" vertical="center" wrapText="1"/>
    </xf>
    <xf numFmtId="0" fontId="0" fillId="0" borderId="125" xfId="0" applyBorder="1" applyAlignment="1">
      <alignment horizontal="left" vertical="center"/>
    </xf>
    <xf numFmtId="0" fontId="0" fillId="0" borderId="128" xfId="0" applyBorder="1" applyAlignment="1">
      <alignment horizontal="left" vertical="center"/>
    </xf>
    <xf numFmtId="0" fontId="0" fillId="0" borderId="126" xfId="0" applyBorder="1" applyAlignment="1">
      <alignment horizontal="left" vertical="center" wrapText="1"/>
    </xf>
    <xf numFmtId="0" fontId="26" fillId="38" borderId="58" xfId="0" applyFont="1" applyFill="1" applyBorder="1" applyAlignment="1">
      <alignment horizontal="center" vertical="center" wrapText="1"/>
    </xf>
    <xf numFmtId="0" fontId="26" fillId="38" borderId="40" xfId="0" applyFont="1" applyFill="1" applyBorder="1" applyAlignment="1">
      <alignment horizontal="center" vertical="center" wrapText="1"/>
    </xf>
    <xf numFmtId="0" fontId="26" fillId="38" borderId="58" xfId="0" applyFont="1" applyFill="1" applyBorder="1" applyAlignment="1">
      <alignment horizontal="left" vertical="center" wrapText="1"/>
    </xf>
    <xf numFmtId="0" fontId="26" fillId="38" borderId="40" xfId="0" applyFont="1" applyFill="1" applyBorder="1" applyAlignment="1">
      <alignment horizontal="left" vertical="center" wrapText="1"/>
    </xf>
    <xf numFmtId="0" fontId="26" fillId="38" borderId="63" xfId="0" applyFont="1" applyFill="1" applyBorder="1" applyAlignment="1">
      <alignment horizontal="left" vertical="center" wrapText="1"/>
    </xf>
    <xf numFmtId="0" fontId="26" fillId="38" borderId="63" xfId="0" applyFont="1" applyFill="1" applyBorder="1" applyAlignment="1">
      <alignment horizontal="center" vertical="center" wrapText="1"/>
    </xf>
    <xf numFmtId="49" fontId="26" fillId="21" borderId="74" xfId="12" applyNumberFormat="1" applyFont="1" applyFill="1" applyBorder="1" applyAlignment="1" applyProtection="1">
      <alignment horizontal="center" vertical="center" wrapText="1"/>
    </xf>
    <xf numFmtId="49" fontId="26" fillId="21" borderId="38" xfId="12" applyNumberFormat="1" applyFont="1" applyFill="1" applyBorder="1" applyAlignment="1" applyProtection="1">
      <alignment horizontal="center" vertical="center" wrapText="1"/>
    </xf>
    <xf numFmtId="0" fontId="5" fillId="5" borderId="123" xfId="6" applyFont="1" applyFill="1" applyBorder="1" applyAlignment="1" applyProtection="1">
      <alignment horizontal="center" vertical="center" wrapText="1"/>
    </xf>
    <xf numFmtId="0" fontId="5" fillId="5" borderId="17" xfId="6" applyFont="1" applyFill="1" applyBorder="1" applyAlignment="1" applyProtection="1">
      <alignment horizontal="center" vertical="center" wrapText="1"/>
    </xf>
    <xf numFmtId="49" fontId="8" fillId="21" borderId="74" xfId="12" applyNumberFormat="1" applyFont="1" applyFill="1" applyBorder="1" applyAlignment="1" applyProtection="1">
      <alignment horizontal="center" vertical="center" wrapText="1"/>
    </xf>
    <xf numFmtId="49" fontId="8" fillId="21" borderId="38" xfId="12" applyNumberFormat="1" applyFont="1" applyFill="1" applyBorder="1" applyAlignment="1" applyProtection="1">
      <alignment horizontal="center" vertical="center" wrapText="1"/>
    </xf>
    <xf numFmtId="49" fontId="8" fillId="21" borderId="45" xfId="12" applyNumberFormat="1" applyFont="1" applyFill="1" applyBorder="1" applyAlignment="1" applyProtection="1">
      <alignment horizontal="center" vertical="center" wrapText="1"/>
    </xf>
    <xf numFmtId="49" fontId="26" fillId="21" borderId="45" xfId="12" applyNumberFormat="1" applyFont="1" applyFill="1" applyBorder="1" applyAlignment="1" applyProtection="1">
      <alignment horizontal="center" vertical="center" wrapText="1"/>
    </xf>
    <xf numFmtId="0" fontId="81" fillId="11" borderId="129" xfId="0" applyFont="1" applyFill="1" applyBorder="1" applyAlignment="1" applyProtection="1">
      <alignment horizontal="left" vertical="center" wrapText="1"/>
      <protection locked="0"/>
    </xf>
    <xf numFmtId="0" fontId="81" fillId="11" borderId="127" xfId="0" applyFont="1" applyFill="1" applyBorder="1" applyAlignment="1" applyProtection="1">
      <alignment horizontal="left" vertical="center" wrapText="1"/>
      <protection locked="0"/>
    </xf>
    <xf numFmtId="0" fontId="81" fillId="11" borderId="130" xfId="0" applyFont="1" applyFill="1" applyBorder="1" applyAlignment="1" applyProtection="1">
      <alignment horizontal="left" vertical="center" wrapText="1"/>
      <protection locked="0"/>
    </xf>
    <xf numFmtId="0" fontId="81" fillId="39" borderId="129" xfId="0" applyFont="1" applyFill="1" applyBorder="1" applyAlignment="1" applyProtection="1">
      <alignment horizontal="left" vertical="center" wrapText="1"/>
      <protection locked="0"/>
    </xf>
    <xf numFmtId="0" fontId="82" fillId="11" borderId="124" xfId="0" applyFont="1" applyFill="1" applyBorder="1" applyAlignment="1" applyProtection="1">
      <alignment horizontal="left" vertical="center" wrapText="1"/>
      <protection locked="0"/>
    </xf>
    <xf numFmtId="0" fontId="82" fillId="11" borderId="127" xfId="0" applyFont="1" applyFill="1" applyBorder="1" applyAlignment="1" applyProtection="1">
      <alignment horizontal="left" vertical="center" wrapText="1"/>
      <protection locked="0"/>
    </xf>
    <xf numFmtId="0" fontId="56" fillId="33" borderId="1" xfId="72" applyFont="1" applyFill="1" applyBorder="1" applyAlignment="1">
      <alignment horizontal="center" vertical="center"/>
    </xf>
    <xf numFmtId="0" fontId="56" fillId="33" borderId="2" xfId="72" applyFont="1" applyFill="1" applyBorder="1" applyAlignment="1">
      <alignment horizontal="center" vertical="center"/>
    </xf>
  </cellXfs>
  <cellStyles count="76">
    <cellStyle name="40% - Accent1 2" xfId="21" xr:uid="{00000000-0005-0000-0000-000040000000}"/>
    <cellStyle name="40% - Accent1 2 2" xfId="17" xr:uid="{00000000-0005-0000-0000-000037000000}"/>
    <cellStyle name="40% - Accent1 3" xfId="22" xr:uid="{00000000-0005-0000-0000-000041000000}"/>
    <cellStyle name="40% - Accent1 3 2" xfId="23" xr:uid="{00000000-0005-0000-0000-000042000000}"/>
    <cellStyle name="40% - Accent2 2" xfId="13" xr:uid="{00000000-0005-0000-0000-00002B000000}"/>
    <cellStyle name="40% - Accent2 2 2" xfId="24" xr:uid="{00000000-0005-0000-0000-000043000000}"/>
    <cellStyle name="40% - Accent2 3" xfId="8" xr:uid="{00000000-0005-0000-0000-000019000000}"/>
    <cellStyle name="40% - Accent2 3 2" xfId="10" xr:uid="{00000000-0005-0000-0000-000022000000}"/>
    <cellStyle name="40% - Accent3" xfId="6" builtinId="39"/>
    <cellStyle name="40% - Accent3 2" xfId="25" xr:uid="{00000000-0005-0000-0000-000044000000}"/>
    <cellStyle name="40% - Accent3 2 2" xfId="18" xr:uid="{00000000-0005-0000-0000-000039000000}"/>
    <cellStyle name="40% - Accent3 3" xfId="26" xr:uid="{00000000-0005-0000-0000-000045000000}"/>
    <cellStyle name="40% - Accent3 3 2" xfId="9" xr:uid="{00000000-0005-0000-0000-000020000000}"/>
    <cellStyle name="40% - Accent4 2" xfId="14" xr:uid="{00000000-0005-0000-0000-000030000000}"/>
    <cellStyle name="40% - Accent4 2 2" xfId="20" xr:uid="{00000000-0005-0000-0000-00003C000000}"/>
    <cellStyle name="40% - Accent4 3" xfId="16" xr:uid="{00000000-0005-0000-0000-000035000000}"/>
    <cellStyle name="40% - Accent4 3 2" xfId="27" xr:uid="{00000000-0005-0000-0000-000046000000}"/>
    <cellStyle name="40% - Accent5 2" xfId="28" xr:uid="{00000000-0005-0000-0000-000047000000}"/>
    <cellStyle name="40% - Accent5 2 2" xfId="29" xr:uid="{00000000-0005-0000-0000-000048000000}"/>
    <cellStyle name="40% - Accent5 3" xfId="30" xr:uid="{00000000-0005-0000-0000-000049000000}"/>
    <cellStyle name="40% - Accent5 3 2" xfId="31" xr:uid="{00000000-0005-0000-0000-00004A000000}"/>
    <cellStyle name="40% - Accent6 2" xfId="32" xr:uid="{00000000-0005-0000-0000-00004B000000}"/>
    <cellStyle name="40% - Accent6 2 2" xfId="33" xr:uid="{00000000-0005-0000-0000-00004C000000}"/>
    <cellStyle name="40% - Accent6 3" xfId="34" xr:uid="{00000000-0005-0000-0000-00004D000000}"/>
    <cellStyle name="40% - Accent6 3 2" xfId="11" xr:uid="{00000000-0005-0000-0000-000025000000}"/>
    <cellStyle name="Accent1" xfId="12" builtinId="29"/>
    <cellStyle name="Comma" xfId="1" builtinId="3"/>
    <cellStyle name="Comma 2" xfId="35" xr:uid="{00000000-0005-0000-0000-00004E000000}"/>
    <cellStyle name="Comma 2 2" xfId="36" xr:uid="{00000000-0005-0000-0000-00004F000000}"/>
    <cellStyle name="Comma 2 2 2" xfId="37" xr:uid="{00000000-0005-0000-0000-000050000000}"/>
    <cellStyle name="Comma 2 3" xfId="38" xr:uid="{00000000-0005-0000-0000-000051000000}"/>
    <cellStyle name="Comma 3" xfId="39" xr:uid="{00000000-0005-0000-0000-000052000000}"/>
    <cellStyle name="Comma 4" xfId="40" xr:uid="{00000000-0005-0000-0000-000053000000}"/>
    <cellStyle name="Comma_Book1" xfId="75" xr:uid="{20E3FF1D-1659-4C3A-BE3B-EF1A4FAFD08B}"/>
    <cellStyle name="Currency" xfId="4" builtinId="4"/>
    <cellStyle name="Currency 2" xfId="41" xr:uid="{00000000-0005-0000-0000-000054000000}"/>
    <cellStyle name="Currency 3" xfId="42" xr:uid="{00000000-0005-0000-0000-000055000000}"/>
    <cellStyle name="Currency 3 2" xfId="43" xr:uid="{00000000-0005-0000-0000-000056000000}"/>
    <cellStyle name="Currency 3 2 2" xfId="44" xr:uid="{00000000-0005-0000-0000-000057000000}"/>
    <cellStyle name="Currency 3 2 3" xfId="45" xr:uid="{00000000-0005-0000-0000-000058000000}"/>
    <cellStyle name="Currency 3 3" xfId="2" xr:uid="{00000000-0005-0000-0000-000004000000}"/>
    <cellStyle name="Currency 4" xfId="46" xr:uid="{00000000-0005-0000-0000-000059000000}"/>
    <cellStyle name="Currency 4 2" xfId="47" xr:uid="{00000000-0005-0000-0000-00005A000000}"/>
    <cellStyle name="Currency 5" xfId="74" xr:uid="{E98EEFE2-6BFA-473A-A136-E3BC6E8A39F4}"/>
    <cellStyle name="Normal" xfId="0" builtinId="0"/>
    <cellStyle name="Normal 10" xfId="48" xr:uid="{00000000-0005-0000-0000-00005B000000}"/>
    <cellStyle name="Normal 10 2" xfId="49" xr:uid="{00000000-0005-0000-0000-00005C000000}"/>
    <cellStyle name="Normal 11" xfId="50" xr:uid="{00000000-0005-0000-0000-00005D000000}"/>
    <cellStyle name="Normal 11 2" xfId="51" xr:uid="{00000000-0005-0000-0000-00005E000000}"/>
    <cellStyle name="Normal 12" xfId="72" xr:uid="{32BF2C72-F619-41DC-83B2-FE86D14588E0}"/>
    <cellStyle name="Normal 2" xfId="52" xr:uid="{00000000-0005-0000-0000-00005F000000}"/>
    <cellStyle name="Normal 2 2" xfId="53" xr:uid="{00000000-0005-0000-0000-000060000000}"/>
    <cellStyle name="Normal 2 3" xfId="54" xr:uid="{00000000-0005-0000-0000-000061000000}"/>
    <cellStyle name="Normal 2 4" xfId="55" xr:uid="{00000000-0005-0000-0000-000062000000}"/>
    <cellStyle name="Normal 2 4 2" xfId="56" xr:uid="{00000000-0005-0000-0000-000063000000}"/>
    <cellStyle name="Normal 3" xfId="57" xr:uid="{00000000-0005-0000-0000-000064000000}"/>
    <cellStyle name="Normal 3 2" xfId="58" xr:uid="{00000000-0005-0000-0000-000065000000}"/>
    <cellStyle name="Normal 3 2 2" xfId="59" xr:uid="{00000000-0005-0000-0000-000066000000}"/>
    <cellStyle name="Normal 3 2 3" xfId="60" xr:uid="{00000000-0005-0000-0000-000067000000}"/>
    <cellStyle name="Normal 3 3" xfId="61" xr:uid="{00000000-0005-0000-0000-000068000000}"/>
    <cellStyle name="Normal 4" xfId="62" xr:uid="{00000000-0005-0000-0000-000069000000}"/>
    <cellStyle name="Normal 5" xfId="63" xr:uid="{00000000-0005-0000-0000-00006A000000}"/>
    <cellStyle name="Normal 5 2" xfId="64" xr:uid="{00000000-0005-0000-0000-00006B000000}"/>
    <cellStyle name="Normal 5 2 2" xfId="65" xr:uid="{00000000-0005-0000-0000-00006C000000}"/>
    <cellStyle name="Normal 5 2 3" xfId="3" xr:uid="{00000000-0005-0000-0000-000006000000}"/>
    <cellStyle name="Normal 5 3" xfId="7" xr:uid="{00000000-0005-0000-0000-000014000000}"/>
    <cellStyle name="Normal 6" xfId="66" xr:uid="{00000000-0005-0000-0000-00006D000000}"/>
    <cellStyle name="Normal 6 2" xfId="67" xr:uid="{00000000-0005-0000-0000-00006E000000}"/>
    <cellStyle name="Normal 7" xfId="68" xr:uid="{00000000-0005-0000-0000-00006F000000}"/>
    <cellStyle name="Normal 8" xfId="69" xr:uid="{00000000-0005-0000-0000-000070000000}"/>
    <cellStyle name="Normal 9" xfId="70" xr:uid="{00000000-0005-0000-0000-000071000000}"/>
    <cellStyle name="Percent" xfId="5" builtinId="5"/>
    <cellStyle name="Percent 2" xfId="15" xr:uid="{00000000-0005-0000-0000-000034000000}"/>
    <cellStyle name="Percent 3" xfId="19" xr:uid="{00000000-0005-0000-0000-00003B000000}"/>
    <cellStyle name="Percent 4" xfId="71" xr:uid="{00000000-0005-0000-0000-000072000000}"/>
    <cellStyle name="Percent 5" xfId="73" xr:uid="{0D767CBA-E0E7-4C7E-AF6D-868B13C41FC0}"/>
  </cellStyles>
  <dxfs count="0"/>
  <tableStyles count="0" defaultTableStyle="TableStyleMedium2" defaultPivotStyle="PivotStyleLight16"/>
  <colors>
    <mruColors>
      <color rgb="FFFFFF99"/>
      <color rgb="FFFFE0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Lingertat, Heike" id="{8D2D5832-A9B6-4D3B-821F-614729FD6CA4}" userId="Lingertat, Heike" providerId="None"/>
  <person displayName="Bharat Gotame" id="{CAAF4C53-9DA2-4007-9A8D-F7C4FF436775}" userId="S::bharat.gotame@wwfnepal.org::852d1a42-cdf0-4d5d-846b-e59e557ff745" providerId="AD"/>
  <person displayName="Prakash Tiwari" id="{3DDEA652-46AF-4A94-A3D0-B733834FDA76}" userId="S::prakash.tiwari@wwfnepal.org::722432ef-9872-49f0-83be-47f77238ad9a" providerId="AD"/>
  <person displayName="Bharat Gotame" id="{3C063420-7C41-4B5B-A844-C646255F962A}" userId="S::bharat.gotame_wwfnepal.org#ext#@worldwildlifefund.onmicrosoft.com::5e2f6ad7-3a37-4df9-95e1-0766ba7fdbe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1" dT="2023-08-22T10:58:25.21" personId="{3C063420-7C41-4B5B-A844-C646255F962A}" id="{DBF23BF4-4F05-4CBA-BF0F-E29C5C711299}">
    <text>Included new figure with outputs achieved from degrated agricutlural land reclamation with mesh-wire fencing work in BNP BZ and Karnali corridor</text>
  </threadedComment>
  <threadedComment ref="N16" dT="2023-08-22T09:15:09.70" personId="{3C063420-7C41-4B5B-A844-C646255F962A}" id="{840BB537-47DA-41C1-9DEC-112AA3CFDC25}">
    <text>Please advise here,  we included target only 10% femal participation as gov. offices in project site only have around 10% female staff
in average</text>
  </threadedComment>
  <threadedComment ref="N16" dT="2023-09-05T19:52:27.65" personId="{8D2D5832-A9B6-4D3B-821F-614729FD6CA4}" id="{1C9D54B7-D57D-4E65-BF8B-CF79D9855030}" parentId="{840BB537-47DA-41C1-9DEC-112AA3CFDC25}">
    <text>Yes, this is correct. We will update this and discuss with GEF Sec.</text>
  </threadedComment>
  <threadedComment ref="Z23" dT="2025-03-10T06:25:16.35" personId="{3DDEA652-46AF-4A94-A3D0-B733834FDA76}" id="{A6FF7FCC-AD25-47B0-8CE0-F5F5B1BC3D40}">
    <text xml:space="preserve">Project activities will be implemented in coordination with the NBSAP preparation technical/thematic committee, primarily focusing on project intervention sites and project stakeholders. Concurrently, loose forum (e.g., province level biodiversity coordination committee) will be engaged that supports the NBSAP preparation process. Reporting will be done accordingly.
</text>
  </threadedComment>
  <threadedComment ref="G27" dT="2023-08-22T09:03:18.72" personId="{3C063420-7C41-4B5B-A844-C646255F962A}" id="{473FB6F0-A105-405B-A73F-1B4C2F64AFC6}">
    <text>311 total federal staff in 2 NP offices</text>
  </threadedComment>
  <threadedComment ref="N27" dT="2023-08-22T09:23:25.81" personId="{3C063420-7C41-4B5B-A844-C646255F962A}" id="{F9C202CA-E5E5-40CB-8DCE-7BBF34C4061E}">
    <text>Cumulative target as per prodoc</text>
  </threadedComment>
  <threadedComment ref="O27" dT="2023-08-22T09:10:38.03" personId="{3C063420-7C41-4B5B-A844-C646255F962A}" id="{B57A55C8-CCEF-4288-8284-7960CC99DE67}">
    <text>In FY 2022: BaNP 81
, BNP : 64, FY 2023, BNP : 57
Total staff from federal level in working sites are 311 (BaNP: 107, BNP: 204)</text>
  </threadedComment>
  <threadedComment ref="Z27" dT="2025-03-10T06:25:41.31" personId="{3DDEA652-46AF-4A94-A3D0-B733834FDA76}" id="{ABBD7E67-483C-4A26-A987-E69F867D88D1}">
    <text xml:space="preserve">Same as above. project activities will be implemented in coordination with the NBSAP preparation technical/thematic committee, primarily focusing on project intervention sites and project stakeholders. Concurrently, loose forum (e.g., province level biodiversity coordination committee) will be engaged that supports the NBSAP preparation process. Reporting will be done accordingly.
</text>
  </threadedComment>
  <threadedComment ref="R36" dT="2024-07-26T06:44:40.69" personId="{3DDEA652-46AF-4A94-A3D0-B733834FDA76}" id="{680E7B7C-61D1-445B-A406-EFDB349D258A}">
    <text>As suggestions, 2019 Area_AM was taken as a baseline where Kamdi (5075) and Karnali (3984)</text>
  </threadedComment>
  <threadedComment ref="G37" dT="2023-08-15T11:11:03.39" personId="{8D2D5832-A9B6-4D3B-821F-614729FD6CA4}" id="{B4639A58-2712-4797-B54D-EFB1D5607211}">
    <text>Same as above. Please explain under indicator what number this is.</text>
  </threadedComment>
  <threadedComment ref="R37" dT="2024-07-26T06:45:04.09" personId="{3DDEA652-46AF-4A94-A3D0-B733834FDA76}" id="{58F7F1D6-2267-4AD8-A688-5BFDFDAEF523}">
    <text>same as above</text>
  </threadedComment>
  <threadedComment ref="G40" dT="2023-08-22T07:38:32.50" personId="{3C063420-7C41-4B5B-A844-C646255F962A}" id="{38C53E6F-E873-468D-AD76-FB26385058AE}">
    <text>Baseline updated from ICIMOD fire database 2021 as per recent biodiversity assessment report in 2023</text>
  </threadedComment>
  <threadedComment ref="O40" dT="2023-08-22T07:56:14.53" personId="{3C063420-7C41-4B5B-A844-C646255F962A}" id="{361C836C-1DE0-47A5-89A3-46292AE59112}">
    <text>achievement reported by DFOs and National Park offices</text>
  </threadedComment>
  <threadedComment ref="P40" dT="2023-08-22T07:55:17.54" personId="{3C063420-7C41-4B5B-A844-C646255F962A}" id="{27153E4B-9225-40EA-B19C-9609510AF9E2}">
    <text>We provided input by deleting formula as the formula does not understand number/Percentage relation</text>
  </threadedComment>
  <threadedComment ref="Q40" dT="2024-07-26T06:55:34.15" personId="{3DDEA652-46AF-4A94-A3D0-B733834FDA76}" id="{93878E94-BFD1-41B6-9184-B9D080B88600}">
    <text>Need to set target as per the new baseline</text>
  </threadedComment>
  <threadedComment ref="R40" dT="2024-07-26T06:56:56.72" personId="{3DDEA652-46AF-4A94-A3D0-B733834FDA76}" id="{EDA091C6-928F-4327-BF8E-F3D3D4E35552}">
    <text>Fire occurrence data reported by DFOs and National Park Offices using MODIS data</text>
  </threadedComment>
  <threadedComment ref="B45" dT="2023-08-14T23:07:27.37" personId="{8D2D5832-A9B6-4D3B-821F-614729FD6CA4}" id="{56D0B86D-22DB-4CF0-B88A-5528A329D332}">
    <text>Add the baseline numbers and targets so that they can be verified.</text>
  </threadedComment>
  <threadedComment ref="G45" dT="2023-08-22T08:10:44.86" personId="{3C063420-7C41-4B5B-A844-C646255F962A}" id="{316F85E9-A5BA-4C11-AB11-724984E48609}">
    <text>Prodoc/RF information in Kamdi and Karnali</text>
  </threadedComment>
  <threadedComment ref="O52" dT="2023-08-22T08:21:19.06" personId="{3C063420-7C41-4B5B-A844-C646255F962A}" id="{E23ABBA9-1178-4C23-BDA5-EB8A420A82D9}">
    <text>Majority were IPs as project beneficiaries</text>
  </threadedComment>
  <threadedComment ref="B55" dT="2025-03-10T06:52:28.07" personId="{3DDEA652-46AF-4A94-A3D0-B733834FDA76}" id="{CF0712DF-BDB7-4111-BC17-339DE8DE9E29}">
    <text xml:space="preserve">Recommended to remove. Budget are being reallocated as per the MTR recommendations, thus, subsidy-based activities contributing indicator recommended to remove.
</text>
  </threadedComment>
  <threadedComment ref="D55" dT="2025-03-10T06:30:42.13" personId="{3DDEA652-46AF-4A94-A3D0-B733834FDA76}" id="{1BA29D1F-B9C3-4A52-BF92-85C999A3E33D}">
    <text xml:space="preserve">Recommended to remove. Budget are being reallocated as per the MTR recommendations, thus, subsidy-based activities contributing indicator recommended to remove.
</text>
  </threadedComment>
  <threadedComment ref="O59" dT="2023-08-22T08:29:42.04" personId="{3C063420-7C41-4B5B-A844-C646255F962A}" id="{E09E68EA-A023-4D27-9468-4E2AFBE50427}">
    <text>10 Female, 18 IPs and 2 Dalits (Karnali corridor records)</text>
  </threadedComment>
  <threadedComment ref="G64" dT="2023-08-22T07:21:46.63" personId="{3C063420-7C41-4B5B-A844-C646255F962A}" id="{08782E86-AEC5-48EF-80D0-A1CAA9EA9018}">
    <text>Based on data maintained by concerned gov. authorities</text>
  </threadedComment>
  <threadedComment ref="P64" dT="2023-09-12T15:19:02.93" personId="{8D2D5832-A9B6-4D3B-821F-614729FD6CA4}" id="{F6896E20-DC66-402E-88AC-65231D7A6D9C}">
    <text>Why is this 0%?</text>
  </threadedComment>
  <threadedComment ref="S64" dT="2024-07-26T07:18:59.52" personId="{3DDEA652-46AF-4A94-A3D0-B733834FDA76}" id="{86DE1B32-AA9B-409D-961D-15912C411B40}">
    <text>Formula changed, as actual is greater than target then it is 0%</text>
  </threadedComment>
  <threadedComment ref="B65" dT="2025-03-10T06:37:48.76" personId="{3DDEA652-46AF-4A94-A3D0-B733834FDA76}" id="{7FC84E5E-C3E6-4C27-975B-ED8399065280}">
    <text>Recommended to remove this indicator as per the MTR recommendations. Instead of this, suggested to add the indicator “Area of cropland protected (hectares)” to enable better integration and traceability to GEF Core Indicator 4, sub indicator 4.3. 
The target is set at 2000 ha.</text>
  </threadedComment>
  <threadedComment ref="G65" dT="2023-08-22T07:12:50.43" personId="{3C063420-7C41-4B5B-A844-C646255F962A}" id="{16B78018-73B0-4BC6-92A2-4A2DA651E2BC}">
    <text xml:space="preserve">BNP+Kamdi+Karnali+BaNP
-Based on data reported by concerned authorities
-Baseline considered FY78/79 (2022)
</text>
  </threadedComment>
  <threadedComment ref="G65" dT="2025-03-10T06:47:18.53" personId="{3DDEA652-46AF-4A94-A3D0-B733834FDA76}" id="{6FD0F864-4854-44EE-86B4-73974372E812}" parentId="{16B78018-73B0-4BC6-92A2-4A2DA651E2BC}">
    <text xml:space="preserve">Activities implemented for human-wildlife conflict mitigation that support sustainable land management (e.g., mesh wire fencing) will be reported in this indicator. </text>
  </threadedComment>
  <threadedComment ref="P65" dT="2023-08-22T07:14:19.31" personId="{3C063420-7C41-4B5B-A844-C646255F962A}" id="{A33FBA16-07DB-48BC-8AEF-15EFAC3C033C}">
    <text>target was 10% but achievement was 43.67 % decrease so it means we achieved 100%</text>
  </threadedComment>
  <threadedComment ref="S65" dT="2024-07-26T07:19:15.76" personId="{3DDEA652-46AF-4A94-A3D0-B733834FDA76}" id="{19487155-2F5A-4791-8F81-7FEA4A86E7D1}">
    <text>same as above</text>
  </threadedComment>
  <threadedComment ref="T65" dT="2025-07-25T15:43:51.59" personId="{3DDEA652-46AF-4A94-A3D0-B733834FDA76}" id="{1444F382-3AA2-4B85-BB35-6281EF1E9BAB}">
    <text xml:space="preserve">Target was set to enable better integration and traceability 
to GEF Core Indicator 4, sub-indicator 4.3. </text>
  </threadedComment>
  <threadedComment ref="G66" dT="2023-08-22T09:31:04.23" personId="{3C063420-7C41-4B5B-A844-C646255F962A}" id="{B9C7EACE-D250-4146-BA20-343E2B240059}">
    <text xml:space="preserve">Data managed by NP offices and DF offices from previous year </text>
  </threadedComment>
  <threadedComment ref="S66" dT="2024-07-26T07:19:42.88" personId="{3DDEA652-46AF-4A94-A3D0-B733834FDA76}" id="{0758181B-DBA0-4AD5-AA34-FEC8025BA49F}">
    <text>same as above</text>
  </threadedComment>
  <threadedComment ref="S67" dT="2024-07-26T07:19:52.99" personId="{3DDEA652-46AF-4A94-A3D0-B733834FDA76}" id="{5CCDB484-3EA9-4B0E-8634-A52F490A29D8}">
    <text>same as above</text>
  </threadedComment>
  <threadedComment ref="S69" dT="2024-07-28T07:16:20.60" personId="{3DDEA652-46AF-4A94-A3D0-B733834FDA76}" id="{25D14F3C-D899-4CB3-8537-099FDAFBE1AE}">
    <text>If the actual is zero then its 100%, Formula set accordingly</text>
  </threadedComment>
  <threadedComment ref="N75" dT="2023-08-22T06:24:05.07" personId="{3C063420-7C41-4B5B-A844-C646255F962A}" id="{D30C8ECB-5D90-4E0F-AFC4-C6E919C2CF4D}">
    <text>in project document it says 100 is target for year 2</text>
  </threadedComment>
  <threadedComment ref="R75" dT="2024-07-26T08:15:47.23" personId="{3DDEA652-46AF-4A94-A3D0-B733834FDA76}" id="{EFE377A7-E1AA-4AFA-A62F-B22C76DE4143}">
    <text>Need to add stakeholder number instead of gender.</text>
  </threadedComment>
  <threadedComment ref="F80" dT="2023-08-22T06:35:49.11" personId="{3C063420-7C41-4B5B-A844-C646255F962A}" id="{E7666760-7286-41F2-A1F3-2FC37F01CEBD}">
    <text>Participants' gender</text>
  </threadedComment>
  <threadedComment ref="B82" dT="2025-03-10T07:18:27.22" personId="{3DDEA652-46AF-4A94-A3D0-B733834FDA76}" id="{9A005EEF-1F5E-46A8-A688-A0627FC557AE}">
    <text>For measuring the effectiveness of capacity building and mass awareness initiatives it is recommended to include indicator under Outcome 4.1.</text>
  </threadedComment>
  <threadedComment ref="T82" dT="2025-07-25T16:23:15.89" personId="{3DDEA652-46AF-4A94-A3D0-B733834FDA76}" id="{9BE0A5ED-817F-4BBD-B658-81AAB51538AF}">
    <text>Baseline was set based on the KAP survey report. Aggregated value of Knowledge, Attitude, Practice score.</text>
  </threadedComment>
</ThreadedComments>
</file>

<file path=xl/threadedComments/threadedComment2.xml><?xml version="1.0" encoding="utf-8"?>
<ThreadedComments xmlns="http://schemas.microsoft.com/office/spreadsheetml/2018/threadedcomments" xmlns:x="http://schemas.openxmlformats.org/spreadsheetml/2006/main">
  <threadedComment ref="J19" dT="2023-08-21T05:37:29.57" personId="{3C063420-7C41-4B5B-A844-C646255F962A}" id="{F1D8AD92-3AB3-43CF-9175-2C7D028F02FE}">
    <text>input was wrong ealier it was 1000</text>
  </threadedComment>
  <threadedComment ref="M25" dT="2023-08-21T05:07:41.33" personId="{3C063420-7C41-4B5B-A844-C646255F962A}" id="{A69E422A-CBDD-412B-9DB4-FB6EBFB1D581}">
    <text>this does not applicable in IP rating</text>
  </threadedComment>
  <threadedComment ref="O33" dT="2023-08-21T05:21:06.54" personId="{3C063420-7C41-4B5B-A844-C646255F962A}" id="{086FAA0E-B31E-4B0B-90FD-065DE86AECF9}">
    <text>this activity was not in approved AWP&amp;B</text>
  </threadedComment>
</ThreadedComments>
</file>

<file path=xl/threadedComments/threadedComment3.xml><?xml version="1.0" encoding="utf-8"?>
<ThreadedComments xmlns="http://schemas.microsoft.com/office/spreadsheetml/2018/threadedcomments" xmlns:x="http://schemas.openxmlformats.org/spreadsheetml/2006/main">
  <threadedComment ref="K8" dT="2023-08-12T12:32:10.59" personId="{8D2D5832-A9B6-4D3B-821F-614729FD6CA4}" id="{5F895DFF-B486-4BBE-926A-D8C7ECF12932}">
    <text>Support is not a unit description. What is the support concretely?</text>
  </threadedComment>
  <threadedComment ref="A44" dT="2023-08-12T12:57:46.00" personId="{8D2D5832-A9B6-4D3B-821F-614729FD6CA4}" id="{84825F25-F460-48E3-8044-270438231E1A}">
    <text>New Outcome</text>
  </threadedComment>
  <threadedComment ref="C140" dT="2023-08-12T14:01:40.83" personId="{8D2D5832-A9B6-4D3B-821F-614729FD6CA4}" id="{8BD9961E-A840-4559-845F-68F9942B4206}">
    <text>Suggest putting these cost under a component</text>
  </threadedComment>
</ThreadedComments>
</file>

<file path=xl/threadedComments/threadedComment4.xml><?xml version="1.0" encoding="utf-8"?>
<ThreadedComments xmlns="http://schemas.microsoft.com/office/spreadsheetml/2018/threadedcomments" xmlns:x="http://schemas.openxmlformats.org/spreadsheetml/2006/main">
  <threadedComment ref="A43" dT="2023-08-12T12:57:46.00" personId="{8D2D5832-A9B6-4D3B-821F-614729FD6CA4}" id="{12452EEE-1EF4-4D68-BF0B-BF5BEFE43796}">
    <text>New Outcome</text>
  </threadedComment>
  <threadedComment ref="C140" dT="2023-08-12T14:01:40.83" personId="{8D2D5832-A9B6-4D3B-821F-614729FD6CA4}" id="{8A8F23A6-637B-431A-A2EA-4F0418EF2D4D}">
    <text>Suggest putting these cost under a component</text>
  </threadedComment>
  <threadedComment ref="C140" dT="2024-04-05T07:52:20.60" personId="{CAAF4C53-9DA2-4007-9A8D-F7C4FF436775}" id="{D42E96FB-68D4-4C6F-B848-69581A62DD89}" parentId="{8A8F23A6-637B-431A-A2EA-4F0418EF2D4D}">
    <text>we follow approved project document and placed here</text>
  </threadedComment>
</ThreadedComments>
</file>

<file path=xl/threadedComments/threadedComment5.xml><?xml version="1.0" encoding="utf-8"?>
<ThreadedComments xmlns="http://schemas.microsoft.com/office/spreadsheetml/2018/threadedcomments" xmlns:x="http://schemas.openxmlformats.org/spreadsheetml/2006/main">
  <threadedComment ref="A44" dT="2023-08-12T12:57:46.00" personId="{8D2D5832-A9B6-4D3B-821F-614729FD6CA4}" id="{BBDC48DC-DC7A-4ACC-971B-F77A410B8C22}">
    <text>New Outcome</text>
  </threadedComment>
  <threadedComment ref="C140" dT="2023-08-12T14:01:40.83" personId="{8D2D5832-A9B6-4D3B-821F-614729FD6CA4}" id="{A070E020-3277-4A21-96F0-3BFD65AC617E}">
    <text>Suggest putting these cost under a component</text>
  </threadedComment>
  <threadedComment ref="G170" dT="2025-02-18T18:58:18.46" personId="{CAAF4C53-9DA2-4007-9A8D-F7C4FF436775}" id="{96720920-DCF7-4559-8101-C168AB4944F9}">
    <text>@Heike - in cell I170 the amount should be 285000 US $. Please edit,It is protected cell so we could not edit, thanks</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U29"/>
  <sheetViews>
    <sheetView topLeftCell="A5" workbookViewId="0">
      <selection activeCell="J18" sqref="J18"/>
    </sheetView>
  </sheetViews>
  <sheetFormatPr defaultColWidth="9" defaultRowHeight="14.5"/>
  <cols>
    <col min="1" max="1" width="1" customWidth="1"/>
    <col min="2" max="2" width="12.7265625" customWidth="1"/>
    <col min="3" max="3" width="11.36328125" customWidth="1"/>
    <col min="4" max="4" width="18.26953125" customWidth="1"/>
    <col min="5" max="5" width="13.36328125" customWidth="1"/>
    <col min="6" max="6" width="11.90625" customWidth="1"/>
    <col min="7" max="8" width="14.36328125" customWidth="1"/>
    <col min="9" max="9" width="13.08984375" customWidth="1"/>
    <col min="10" max="10" width="11.6328125" customWidth="1"/>
    <col min="11" max="11" width="11.26953125" customWidth="1"/>
    <col min="19" max="19" width="13.26953125" customWidth="1"/>
    <col min="20" max="20" width="10.6328125" customWidth="1"/>
  </cols>
  <sheetData>
    <row r="1" spans="2:21" ht="6" customHeight="1"/>
    <row r="2" spans="2:21" ht="6" customHeight="1"/>
    <row r="3" spans="2:21">
      <c r="B3" s="1156" t="s">
        <v>0</v>
      </c>
      <c r="C3" s="1157"/>
      <c r="D3" s="1157"/>
      <c r="E3" s="1157"/>
      <c r="F3" s="1157"/>
      <c r="G3" s="1157"/>
      <c r="H3" s="1157"/>
      <c r="I3" s="1157"/>
      <c r="J3" s="1157"/>
      <c r="K3" s="1158"/>
    </row>
    <row r="4" spans="2:21">
      <c r="B4" s="1159" t="s">
        <v>1</v>
      </c>
      <c r="C4" s="1160"/>
      <c r="D4" s="1161"/>
      <c r="E4" s="1159" t="s">
        <v>2</v>
      </c>
      <c r="F4" s="1161"/>
      <c r="G4" s="1159" t="s">
        <v>3</v>
      </c>
      <c r="H4" s="1161"/>
      <c r="I4" s="1159" t="s">
        <v>4</v>
      </c>
      <c r="J4" s="1160"/>
      <c r="K4" s="1161"/>
    </row>
    <row r="5" spans="2:21">
      <c r="B5" s="8" t="s">
        <v>5</v>
      </c>
      <c r="C5" s="9" t="s">
        <v>6</v>
      </c>
      <c r="D5" s="10" t="s">
        <v>7</v>
      </c>
      <c r="E5" s="8" t="s">
        <v>5</v>
      </c>
      <c r="F5" s="10" t="s">
        <v>6</v>
      </c>
      <c r="G5" s="8" t="s">
        <v>5</v>
      </c>
      <c r="H5" s="10" t="s">
        <v>6</v>
      </c>
      <c r="I5" s="8" t="s">
        <v>5</v>
      </c>
      <c r="J5" s="9" t="s">
        <v>8</v>
      </c>
      <c r="K5" s="10" t="s">
        <v>7</v>
      </c>
    </row>
    <row r="6" spans="2:21">
      <c r="B6" s="11">
        <v>381537.5</v>
      </c>
      <c r="C6" s="12">
        <v>285038.03999999998</v>
      </c>
      <c r="D6" s="13">
        <f>C6/B6</f>
        <v>0.74707739082003732</v>
      </c>
      <c r="E6" s="14">
        <v>301292.373333333</v>
      </c>
      <c r="F6" s="15">
        <v>0</v>
      </c>
      <c r="G6" s="14">
        <v>234601.19866666701</v>
      </c>
      <c r="H6" s="15">
        <v>0</v>
      </c>
      <c r="I6" s="35">
        <f>B6+E6+G6</f>
        <v>917431.07200000004</v>
      </c>
      <c r="J6" s="36">
        <f>C6+F6+H6</f>
        <v>285038.03999999998</v>
      </c>
      <c r="K6" s="13">
        <f>J6/I6</f>
        <v>0.31069150446214661</v>
      </c>
    </row>
    <row r="7" spans="2:21">
      <c r="B7" s="16"/>
      <c r="C7" s="16"/>
      <c r="D7" s="17"/>
      <c r="E7" s="18"/>
      <c r="F7" s="18"/>
      <c r="G7" s="18"/>
      <c r="H7" s="18"/>
      <c r="I7" s="37"/>
      <c r="J7" s="37"/>
      <c r="K7" s="17"/>
    </row>
    <row r="8" spans="2:21">
      <c r="B8" s="1154" t="s">
        <v>9</v>
      </c>
      <c r="C8" s="1154"/>
      <c r="D8" s="17"/>
      <c r="E8" s="18"/>
      <c r="F8" s="18"/>
      <c r="G8" s="18"/>
      <c r="H8" s="18"/>
      <c r="I8" s="37"/>
      <c r="J8" s="37"/>
      <c r="K8" s="17"/>
    </row>
    <row r="9" spans="2:21">
      <c r="B9" s="233" t="s">
        <v>10</v>
      </c>
      <c r="C9" s="234">
        <v>99253.17</v>
      </c>
      <c r="D9" s="19"/>
      <c r="E9" s="20"/>
      <c r="K9" s="38"/>
      <c r="L9" s="39"/>
      <c r="M9" s="39"/>
      <c r="N9" s="39"/>
      <c r="O9" s="39"/>
      <c r="P9" s="39"/>
      <c r="Q9" s="39"/>
      <c r="R9" s="39"/>
      <c r="S9" s="44"/>
      <c r="T9" s="44"/>
      <c r="U9" s="39"/>
    </row>
    <row r="10" spans="2:21">
      <c r="B10" s="235" t="s">
        <v>11</v>
      </c>
      <c r="C10" s="234">
        <v>210890.72</v>
      </c>
      <c r="D10" s="20"/>
      <c r="E10" s="20"/>
      <c r="K10" s="38"/>
      <c r="L10" s="39"/>
      <c r="M10" s="39"/>
      <c r="N10" s="39"/>
      <c r="O10" s="39"/>
      <c r="P10" s="39"/>
      <c r="Q10" s="39"/>
      <c r="R10" s="39"/>
      <c r="S10" s="44"/>
      <c r="T10" s="44"/>
      <c r="U10" s="39"/>
    </row>
    <row r="11" spans="2:21">
      <c r="B11" s="235" t="s">
        <v>4</v>
      </c>
      <c r="C11" s="234">
        <f>C10+C9</f>
        <v>310143.89</v>
      </c>
      <c r="D11" s="21" t="s">
        <v>12</v>
      </c>
      <c r="E11" s="22" t="s">
        <v>13</v>
      </c>
      <c r="K11" s="38"/>
      <c r="L11" s="39"/>
      <c r="M11" s="39"/>
      <c r="N11" s="39"/>
      <c r="O11" s="39"/>
      <c r="P11" s="39"/>
      <c r="Q11" s="39"/>
      <c r="R11" s="39"/>
      <c r="S11" s="44"/>
      <c r="T11" s="44"/>
      <c r="U11" s="39"/>
    </row>
    <row r="12" spans="2:21">
      <c r="B12" s="235" t="s">
        <v>14</v>
      </c>
      <c r="C12" s="236">
        <f>B6-C11</f>
        <v>71393.609999999986</v>
      </c>
      <c r="D12" s="20">
        <v>285038.03999999998</v>
      </c>
      <c r="E12" s="20">
        <f>C11-D12</f>
        <v>25105.850000000035</v>
      </c>
      <c r="F12" s="20">
        <f>E12+C12</f>
        <v>96499.460000000021</v>
      </c>
      <c r="K12" s="38"/>
      <c r="L12" s="39"/>
      <c r="M12" s="39"/>
      <c r="N12" s="39"/>
      <c r="O12" s="39"/>
      <c r="P12" s="39"/>
      <c r="Q12" s="39"/>
      <c r="R12" s="39"/>
      <c r="S12" s="44"/>
      <c r="T12" s="44"/>
      <c r="U12" s="39"/>
    </row>
    <row r="13" spans="2:21">
      <c r="B13" s="235" t="s">
        <v>15</v>
      </c>
      <c r="C13" s="237">
        <f>C12+E6+E12</f>
        <v>397791.83333333302</v>
      </c>
      <c r="K13" s="38"/>
      <c r="L13" s="39"/>
      <c r="M13" s="39"/>
      <c r="N13" s="39"/>
      <c r="O13" s="39"/>
      <c r="P13" s="39"/>
      <c r="Q13" s="39"/>
      <c r="R13" s="39"/>
      <c r="S13" s="44"/>
      <c r="T13" s="44"/>
      <c r="U13" s="39"/>
    </row>
    <row r="14" spans="2:21">
      <c r="K14" s="38"/>
      <c r="L14" s="39"/>
      <c r="M14" s="39"/>
      <c r="N14" s="39"/>
      <c r="O14" s="39"/>
      <c r="P14" s="39"/>
      <c r="Q14" s="39"/>
      <c r="R14" s="39"/>
      <c r="S14" s="44"/>
      <c r="T14" s="44"/>
      <c r="U14" s="39"/>
    </row>
    <row r="15" spans="2:21">
      <c r="S15" s="45"/>
      <c r="T15" s="20"/>
      <c r="U15" s="20"/>
    </row>
    <row r="17" spans="2:10">
      <c r="B17" s="1155" t="s">
        <v>16</v>
      </c>
      <c r="C17" s="1155"/>
      <c r="D17" s="1155"/>
    </row>
    <row r="18" spans="2:10">
      <c r="B18">
        <v>2201</v>
      </c>
      <c r="C18" s="23" t="s">
        <v>17</v>
      </c>
      <c r="D18" s="24"/>
      <c r="E18" s="24"/>
      <c r="F18" s="24"/>
      <c r="G18" s="24"/>
      <c r="H18" s="24"/>
      <c r="I18" s="40"/>
    </row>
    <row r="19" spans="2:10">
      <c r="C19" s="25" t="s">
        <v>18</v>
      </c>
      <c r="D19" s="26"/>
      <c r="E19" s="26"/>
      <c r="F19" s="26"/>
      <c r="G19" s="26"/>
      <c r="H19" s="27">
        <v>-10024</v>
      </c>
      <c r="I19" s="41">
        <v>-103.78</v>
      </c>
    </row>
    <row r="20" spans="2:10">
      <c r="C20" s="25" t="s">
        <v>19</v>
      </c>
      <c r="D20" s="26"/>
      <c r="E20" s="26"/>
      <c r="F20" s="26"/>
      <c r="G20" s="26"/>
      <c r="H20" s="27">
        <v>-388765.62</v>
      </c>
      <c r="I20" s="41">
        <v>-4042.69</v>
      </c>
    </row>
    <row r="21" spans="2:10">
      <c r="C21" s="25" t="s">
        <v>20</v>
      </c>
      <c r="D21" s="26"/>
      <c r="E21" s="26"/>
      <c r="F21" s="26"/>
      <c r="G21" s="26"/>
      <c r="H21" s="27"/>
      <c r="I21" s="41">
        <v>-0.97</v>
      </c>
    </row>
    <row r="22" spans="2:10">
      <c r="C22" s="25" t="s">
        <v>21</v>
      </c>
      <c r="D22" s="26"/>
      <c r="E22" s="26"/>
      <c r="F22" s="26"/>
      <c r="G22" s="26"/>
      <c r="H22" s="27">
        <v>-1781813</v>
      </c>
      <c r="I22" s="41">
        <v>-18359.25</v>
      </c>
    </row>
    <row r="23" spans="2:10">
      <c r="C23" s="25" t="s">
        <v>22</v>
      </c>
      <c r="D23" s="26"/>
      <c r="E23" s="26"/>
      <c r="F23" s="26"/>
      <c r="G23" s="26"/>
      <c r="H23" s="27">
        <v>-20800</v>
      </c>
      <c r="I23" s="41">
        <v>-218.99</v>
      </c>
    </row>
    <row r="24" spans="2:10">
      <c r="C24" s="28" t="s">
        <v>4</v>
      </c>
      <c r="D24" s="29"/>
      <c r="E24" s="29"/>
      <c r="F24" s="29"/>
      <c r="G24" s="29"/>
      <c r="H24" s="30">
        <v>-2201402.62</v>
      </c>
      <c r="I24" s="42">
        <v>-22725.68</v>
      </c>
    </row>
    <row r="25" spans="2:10">
      <c r="B25" s="31" t="s">
        <v>23</v>
      </c>
      <c r="C25" s="238" t="s">
        <v>24</v>
      </c>
      <c r="D25" s="239"/>
      <c r="E25" s="239"/>
      <c r="F25" s="239"/>
      <c r="G25" s="239"/>
      <c r="H25" s="239"/>
      <c r="I25" s="240"/>
    </row>
    <row r="26" spans="2:10">
      <c r="C26" s="241" t="s">
        <v>25</v>
      </c>
      <c r="D26" s="242"/>
      <c r="E26" s="242"/>
      <c r="F26" s="242"/>
      <c r="G26" s="242"/>
      <c r="H26" s="243">
        <v>-150650</v>
      </c>
      <c r="I26" s="244">
        <v>-1529.91</v>
      </c>
    </row>
    <row r="27" spans="2:10">
      <c r="C27" s="241" t="s">
        <v>26</v>
      </c>
      <c r="D27" s="242"/>
      <c r="E27" s="242"/>
      <c r="F27" s="242"/>
      <c r="G27" s="242"/>
      <c r="H27" s="243">
        <v>-85000</v>
      </c>
      <c r="I27" s="244">
        <v>-850.26</v>
      </c>
    </row>
    <row r="28" spans="2:10">
      <c r="C28" s="32" t="s">
        <v>4</v>
      </c>
      <c r="D28" s="29"/>
      <c r="E28" s="29"/>
      <c r="F28" s="29"/>
      <c r="G28" s="29"/>
      <c r="H28" s="30">
        <v>-235650</v>
      </c>
      <c r="I28" s="42">
        <v>-2380.17</v>
      </c>
    </row>
    <row r="29" spans="2:10">
      <c r="C29" s="33" t="s">
        <v>27</v>
      </c>
      <c r="D29" s="34"/>
      <c r="E29" s="34"/>
      <c r="F29" s="34"/>
      <c r="G29" s="34"/>
      <c r="H29" s="34"/>
      <c r="I29" s="43">
        <v>-25105.85</v>
      </c>
      <c r="J29" t="s">
        <v>28</v>
      </c>
    </row>
  </sheetData>
  <mergeCells count="7">
    <mergeCell ref="B8:C8"/>
    <mergeCell ref="B17:D17"/>
    <mergeCell ref="B3:K3"/>
    <mergeCell ref="B4:D4"/>
    <mergeCell ref="E4:F4"/>
    <mergeCell ref="G4:H4"/>
    <mergeCell ref="I4:K4"/>
  </mergeCells>
  <pageMargins left="0.31" right="0.17" top="0.75" bottom="0.75" header="0.3" footer="0.3"/>
  <pageSetup orientation="landscape"/>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BA4A-13D6-4AC6-AC84-30BF51DD7A7C}">
  <sheetPr>
    <tabColor rgb="FFFFFFCC"/>
  </sheetPr>
  <dimension ref="A1:AY195"/>
  <sheetViews>
    <sheetView zoomScale="80" zoomScaleNormal="80" workbookViewId="0">
      <pane xSplit="3" ySplit="7" topLeftCell="D8" activePane="bottomRight" state="frozen"/>
      <selection pane="topRight" activeCell="D1" sqref="D1"/>
      <selection pane="bottomLeft" activeCell="A8" sqref="A8"/>
      <selection pane="bottomRight" activeCell="I46" sqref="I46"/>
    </sheetView>
  </sheetViews>
  <sheetFormatPr defaultColWidth="9.08984375" defaultRowHeight="14.5"/>
  <cols>
    <col min="1" max="1" width="22.90625" style="5" customWidth="1"/>
    <col min="2" max="2" width="20.26953125" style="5" customWidth="1"/>
    <col min="3" max="3" width="31.36328125" style="5" customWidth="1"/>
    <col min="4" max="4" width="17.6328125" style="5" customWidth="1"/>
    <col min="5" max="5" width="5.08984375" style="6" customWidth="1"/>
    <col min="6" max="7" width="5.08984375" style="6" hidden="1" customWidth="1"/>
    <col min="8" max="8" width="5.08984375" style="6" customWidth="1"/>
    <col min="9" max="9" width="13.36328125" style="6" customWidth="1"/>
    <col min="10" max="10" width="7.7265625" style="7" customWidth="1"/>
    <col min="11" max="11" width="15.7265625" style="5" customWidth="1"/>
    <col min="12" max="12" width="11" style="5" customWidth="1"/>
    <col min="13" max="13" width="12.90625" style="5" customWidth="1"/>
    <col min="14" max="14" width="17.7265625" style="5" customWidth="1"/>
    <col min="15" max="16" width="20.36328125" style="5" customWidth="1"/>
    <col min="17" max="17" width="24.08984375" style="5" customWidth="1"/>
    <col min="18" max="18" width="16.90625" style="5" customWidth="1"/>
    <col min="21" max="21" width="109.36328125" customWidth="1"/>
    <col min="23" max="23" width="22.26953125" customWidth="1"/>
    <col min="24" max="24" width="22.7265625" customWidth="1"/>
    <col min="25" max="25" width="25.7265625" customWidth="1"/>
    <col min="26" max="26" width="15" customWidth="1"/>
    <col min="27" max="27" width="33.90625" customWidth="1"/>
    <col min="28" max="28" width="14.7265625" customWidth="1"/>
    <col min="29" max="29" width="13.7265625" customWidth="1"/>
    <col min="30" max="30" width="13.36328125" customWidth="1"/>
    <col min="31" max="31" width="34.7265625" customWidth="1"/>
    <col min="32" max="32" width="13.7265625" customWidth="1"/>
    <col min="33" max="33" width="76.90625" customWidth="1"/>
    <col min="34" max="34" width="81.90625" customWidth="1"/>
  </cols>
  <sheetData>
    <row r="1" spans="1:34" ht="21.5" thickBot="1">
      <c r="A1" s="492" t="s">
        <v>558</v>
      </c>
      <c r="B1" s="493"/>
      <c r="C1" s="1140"/>
      <c r="D1" s="1106"/>
      <c r="E1" s="55"/>
      <c r="F1" s="55"/>
      <c r="G1" s="55"/>
      <c r="H1" s="55"/>
      <c r="I1" s="55"/>
      <c r="J1" s="1107"/>
      <c r="K1" s="1106"/>
      <c r="L1" s="1106"/>
      <c r="M1" s="1106"/>
      <c r="N1" s="1106"/>
      <c r="O1" s="1106"/>
      <c r="P1" s="1106"/>
      <c r="Q1" s="1106"/>
      <c r="R1" s="1106"/>
    </row>
    <row r="2" spans="1:34" ht="21.5" thickBot="1">
      <c r="A2" s="1141"/>
      <c r="B2" s="494" t="s">
        <v>232</v>
      </c>
      <c r="C2" s="495"/>
      <c r="D2" s="146"/>
      <c r="E2" s="147"/>
      <c r="F2" s="147"/>
      <c r="G2" s="147"/>
      <c r="H2" s="147"/>
      <c r="I2" s="147"/>
      <c r="J2" s="146"/>
      <c r="K2" s="146"/>
      <c r="L2" s="148"/>
      <c r="M2" s="149" t="s">
        <v>233</v>
      </c>
      <c r="N2" s="150"/>
      <c r="O2" s="150"/>
      <c r="P2" s="150"/>
      <c r="Q2" s="150"/>
      <c r="R2" s="151"/>
      <c r="T2" s="459" t="s">
        <v>559</v>
      </c>
      <c r="U2" s="460"/>
    </row>
    <row r="3" spans="1:34" ht="31.5" customHeight="1">
      <c r="A3" s="490" t="s">
        <v>234</v>
      </c>
      <c r="B3" s="1383" t="s">
        <v>235</v>
      </c>
      <c r="C3" s="491" t="s">
        <v>236</v>
      </c>
      <c r="D3" s="1326" t="s">
        <v>237</v>
      </c>
      <c r="E3" s="143" t="s">
        <v>238</v>
      </c>
      <c r="F3" s="144"/>
      <c r="G3" s="144"/>
      <c r="H3" s="355"/>
      <c r="I3" s="144" t="s">
        <v>239</v>
      </c>
      <c r="J3" s="138" t="s">
        <v>240</v>
      </c>
      <c r="K3" s="138" t="s">
        <v>241</v>
      </c>
      <c r="L3" s="1328" t="s">
        <v>242</v>
      </c>
      <c r="M3" s="1330" t="s">
        <v>243</v>
      </c>
      <c r="N3" s="1332" t="s">
        <v>244</v>
      </c>
      <c r="O3" s="1334" t="s">
        <v>245</v>
      </c>
      <c r="P3" s="1306" t="s">
        <v>246</v>
      </c>
      <c r="Q3" s="1308" t="s">
        <v>247</v>
      </c>
      <c r="R3" s="1309"/>
      <c r="T3" s="249"/>
      <c r="U3" s="461"/>
      <c r="W3" s="1370" t="s">
        <v>560</v>
      </c>
      <c r="X3" s="1371"/>
      <c r="Y3" s="1371"/>
      <c r="Z3" s="1371"/>
      <c r="AA3" s="477" t="s">
        <v>561</v>
      </c>
      <c r="AB3" s="1365" t="s">
        <v>562</v>
      </c>
      <c r="AC3" s="1365"/>
      <c r="AD3" s="1365"/>
      <c r="AE3" s="1365"/>
      <c r="AF3" s="479" t="s">
        <v>563</v>
      </c>
      <c r="AG3" s="479"/>
      <c r="AH3" s="480"/>
    </row>
    <row r="4" spans="1:34" ht="25.5" customHeight="1">
      <c r="A4" s="248"/>
      <c r="B4" s="1325"/>
      <c r="C4" s="249"/>
      <c r="D4" s="1327"/>
      <c r="E4" s="71" t="s">
        <v>248</v>
      </c>
      <c r="F4" s="72" t="s">
        <v>249</v>
      </c>
      <c r="G4" s="71" t="s">
        <v>250</v>
      </c>
      <c r="H4" s="72" t="s">
        <v>251</v>
      </c>
      <c r="I4" s="354" t="s">
        <v>252</v>
      </c>
      <c r="J4" s="121" t="s">
        <v>254</v>
      </c>
      <c r="K4" s="73" t="s">
        <v>255</v>
      </c>
      <c r="L4" s="1329"/>
      <c r="M4" s="1331"/>
      <c r="N4" s="1333"/>
      <c r="O4" s="1335"/>
      <c r="P4" s="1307"/>
      <c r="Q4" s="193" t="s">
        <v>256</v>
      </c>
      <c r="R4" s="194" t="s">
        <v>257</v>
      </c>
      <c r="T4" s="456" t="s">
        <v>564</v>
      </c>
      <c r="U4" s="457" t="s">
        <v>565</v>
      </c>
      <c r="W4" s="1366" t="s">
        <v>566</v>
      </c>
      <c r="X4" s="1368" t="s">
        <v>567</v>
      </c>
      <c r="Y4" s="1368" t="s">
        <v>568</v>
      </c>
      <c r="Z4" s="1368" t="s">
        <v>569</v>
      </c>
      <c r="AA4" s="1368" t="s">
        <v>570</v>
      </c>
      <c r="AB4" s="1368" t="s">
        <v>571</v>
      </c>
      <c r="AC4" s="1368" t="s">
        <v>572</v>
      </c>
      <c r="AD4" s="1368" t="s">
        <v>573</v>
      </c>
      <c r="AE4" s="1368" t="s">
        <v>574</v>
      </c>
      <c r="AF4" s="1368" t="s">
        <v>575</v>
      </c>
      <c r="AG4" s="1368" t="s">
        <v>576</v>
      </c>
      <c r="AH4" s="1372" t="s">
        <v>577</v>
      </c>
    </row>
    <row r="5" spans="1:34" ht="35.25" customHeight="1">
      <c r="A5" s="309" t="s">
        <v>258</v>
      </c>
      <c r="B5" s="310"/>
      <c r="C5" s="310"/>
      <c r="D5" s="74"/>
      <c r="E5" s="74"/>
      <c r="F5" s="74"/>
      <c r="G5" s="74"/>
      <c r="H5" s="74"/>
      <c r="I5" s="428">
        <f>I6+I30+I48+I99</f>
        <v>2446897</v>
      </c>
      <c r="J5" s="425"/>
      <c r="K5" s="76"/>
      <c r="L5" s="77"/>
      <c r="M5" s="78"/>
      <c r="N5" s="76"/>
      <c r="O5" s="76"/>
      <c r="P5" s="79"/>
      <c r="Q5" s="349">
        <f t="shared" ref="Q5:R5" si="0">Q6+Q30+Q48+Q99</f>
        <v>0</v>
      </c>
      <c r="R5" s="80">
        <f t="shared" si="0"/>
        <v>0</v>
      </c>
      <c r="T5" s="1374" t="s">
        <v>578</v>
      </c>
      <c r="U5" s="1375"/>
      <c r="W5" s="1367"/>
      <c r="X5" s="1369"/>
      <c r="Y5" s="1369"/>
      <c r="Z5" s="1369"/>
      <c r="AA5" s="1369"/>
      <c r="AB5" s="1369"/>
      <c r="AC5" s="1369"/>
      <c r="AD5" s="1369"/>
      <c r="AE5" s="1369"/>
      <c r="AF5" s="1369"/>
      <c r="AG5" s="1369"/>
      <c r="AH5" s="1373"/>
    </row>
    <row r="6" spans="1:34" ht="81.75" customHeight="1">
      <c r="A6" s="339" t="s">
        <v>114</v>
      </c>
      <c r="B6" s="340"/>
      <c r="C6" s="340"/>
      <c r="D6" s="340"/>
      <c r="E6" s="340"/>
      <c r="F6" s="340"/>
      <c r="G6" s="340"/>
      <c r="H6" s="341"/>
      <c r="I6" s="423">
        <f t="shared" ref="I6" si="1">I7+I18</f>
        <v>352393</v>
      </c>
      <c r="J6" s="426"/>
      <c r="K6" s="343"/>
      <c r="L6" s="344"/>
      <c r="M6" s="345"/>
      <c r="N6" s="346"/>
      <c r="O6" s="346"/>
      <c r="P6" s="347"/>
      <c r="Q6" s="350">
        <f>Q7+Q18</f>
        <v>0</v>
      </c>
      <c r="R6" s="348">
        <f>R7+R18</f>
        <v>0</v>
      </c>
      <c r="T6" s="462" t="s">
        <v>579</v>
      </c>
      <c r="U6" s="463"/>
      <c r="W6" s="484" t="s">
        <v>579</v>
      </c>
      <c r="X6" s="485"/>
      <c r="Y6" s="485"/>
      <c r="Z6" s="485"/>
      <c r="AA6" s="485"/>
      <c r="AB6" s="485"/>
      <c r="AC6" s="485"/>
      <c r="AD6" s="485"/>
      <c r="AE6" s="485"/>
      <c r="AF6" s="485"/>
      <c r="AG6" s="485"/>
      <c r="AH6" s="486"/>
    </row>
    <row r="7" spans="1:34" ht="30.75" customHeight="1">
      <c r="A7" s="360" t="s">
        <v>259</v>
      </c>
      <c r="B7" s="361"/>
      <c r="C7" s="361"/>
      <c r="D7" s="362"/>
      <c r="E7" s="363" t="s">
        <v>248</v>
      </c>
      <c r="F7" s="364" t="s">
        <v>249</v>
      </c>
      <c r="G7" s="364" t="s">
        <v>250</v>
      </c>
      <c r="H7" s="365" t="s">
        <v>251</v>
      </c>
      <c r="I7" s="424">
        <f t="shared" ref="I7" si="2">I17</f>
        <v>53752</v>
      </c>
      <c r="J7" s="427"/>
      <c r="K7" s="367"/>
      <c r="L7" s="368"/>
      <c r="M7" s="369"/>
      <c r="N7" s="370"/>
      <c r="O7" s="371"/>
      <c r="P7" s="372"/>
      <c r="Q7" s="373">
        <f>Q17</f>
        <v>0</v>
      </c>
      <c r="R7" s="374">
        <f>R17</f>
        <v>0</v>
      </c>
      <c r="T7" s="464" t="s">
        <v>580</v>
      </c>
      <c r="U7" s="465"/>
      <c r="W7" s="464" t="s">
        <v>580</v>
      </c>
      <c r="X7" s="465"/>
      <c r="Y7" s="465"/>
      <c r="Z7" s="465"/>
      <c r="AA7" s="465"/>
      <c r="AB7" s="465"/>
      <c r="AC7" s="465"/>
      <c r="AD7" s="465"/>
      <c r="AE7" s="465"/>
      <c r="AF7" s="465"/>
      <c r="AG7" s="465"/>
      <c r="AH7" s="465"/>
    </row>
    <row r="8" spans="1:34" ht="31.5" customHeight="1">
      <c r="A8" s="1382" t="s">
        <v>581</v>
      </c>
      <c r="B8" s="168">
        <f>'AWPB Yr 3'!B124</f>
        <v>162</v>
      </c>
      <c r="C8" s="180" t="s">
        <v>261</v>
      </c>
      <c r="D8" s="429" t="s">
        <v>582</v>
      </c>
      <c r="E8" s="56"/>
      <c r="F8" s="408"/>
      <c r="G8" s="408"/>
      <c r="H8" s="304"/>
      <c r="I8" s="356">
        <v>2344</v>
      </c>
      <c r="J8" s="182"/>
      <c r="K8" s="110"/>
      <c r="L8" s="172">
        <v>2</v>
      </c>
      <c r="M8" s="58">
        <v>0</v>
      </c>
      <c r="N8" s="108">
        <f>IF(L8,MIN(1,M8/L8),"")</f>
        <v>0</v>
      </c>
      <c r="O8" s="1312"/>
      <c r="P8" s="1314"/>
      <c r="Q8" s="57"/>
      <c r="R8" s="257"/>
      <c r="T8" s="466" t="s">
        <v>583</v>
      </c>
      <c r="U8" s="497" t="s">
        <v>584</v>
      </c>
      <c r="W8" s="500" t="s">
        <v>412</v>
      </c>
      <c r="X8" s="501" t="s">
        <v>412</v>
      </c>
      <c r="Y8" s="501" t="s">
        <v>412</v>
      </c>
      <c r="Z8" s="502" t="s">
        <v>412</v>
      </c>
      <c r="AA8" s="503" t="s">
        <v>412</v>
      </c>
      <c r="AB8" s="501" t="s">
        <v>412</v>
      </c>
      <c r="AC8" s="501" t="s">
        <v>412</v>
      </c>
      <c r="AD8" s="501" t="s">
        <v>412</v>
      </c>
      <c r="AE8" s="504" t="s">
        <v>412</v>
      </c>
      <c r="AF8" s="505" t="s">
        <v>585</v>
      </c>
      <c r="AG8" s="498" t="s">
        <v>586</v>
      </c>
      <c r="AH8" s="499" t="s">
        <v>587</v>
      </c>
    </row>
    <row r="9" spans="1:34" ht="39" customHeight="1">
      <c r="A9" s="1302"/>
      <c r="B9" s="353"/>
      <c r="C9" s="181" t="s">
        <v>262</v>
      </c>
      <c r="D9" s="430" t="s">
        <v>588</v>
      </c>
      <c r="E9" s="56"/>
      <c r="F9" s="56"/>
      <c r="G9" s="56"/>
      <c r="H9" s="304"/>
      <c r="I9" s="356">
        <v>0</v>
      </c>
      <c r="J9" s="183"/>
      <c r="K9" s="110"/>
      <c r="L9" s="172"/>
      <c r="M9" s="58"/>
      <c r="N9" s="108" t="str">
        <f t="shared" ref="N9:N16" si="3">IF(L9,MIN(1,M9/L9),"")</f>
        <v/>
      </c>
      <c r="O9" s="1313"/>
      <c r="P9" s="1315"/>
      <c r="Q9" s="57"/>
      <c r="R9" s="257"/>
      <c r="T9" s="466" t="s">
        <v>589</v>
      </c>
      <c r="U9" s="497"/>
      <c r="W9" s="500"/>
      <c r="X9" s="501"/>
      <c r="Y9" s="501"/>
      <c r="Z9" s="502"/>
      <c r="AA9" s="503"/>
      <c r="AB9" s="501"/>
      <c r="AC9" s="501"/>
      <c r="AD9" s="501"/>
      <c r="AE9" s="504"/>
      <c r="AF9" s="505"/>
      <c r="AG9" s="498"/>
      <c r="AH9" s="499"/>
    </row>
    <row r="10" spans="1:34" ht="31.5" customHeight="1">
      <c r="A10" s="1302"/>
      <c r="B10" s="353">
        <v>163</v>
      </c>
      <c r="C10" s="181" t="s">
        <v>263</v>
      </c>
      <c r="D10" s="430" t="s">
        <v>582</v>
      </c>
      <c r="E10" s="56"/>
      <c r="F10" s="408"/>
      <c r="G10" s="408"/>
      <c r="H10" s="408"/>
      <c r="I10" s="356">
        <v>19688</v>
      </c>
      <c r="J10" s="183"/>
      <c r="K10" s="110"/>
      <c r="L10" s="172">
        <v>12</v>
      </c>
      <c r="M10" s="58">
        <v>3</v>
      </c>
      <c r="N10" s="108">
        <f t="shared" si="3"/>
        <v>0.25</v>
      </c>
      <c r="O10" s="1313"/>
      <c r="P10" s="1315"/>
      <c r="Q10" s="57"/>
      <c r="R10" s="257"/>
      <c r="T10" s="466" t="s">
        <v>590</v>
      </c>
      <c r="U10" s="497" t="s">
        <v>591</v>
      </c>
      <c r="W10" s="500" t="s">
        <v>412</v>
      </c>
      <c r="X10" s="501" t="s">
        <v>412</v>
      </c>
      <c r="Y10" s="501" t="s">
        <v>412</v>
      </c>
      <c r="Z10" s="502" t="s">
        <v>412</v>
      </c>
      <c r="AA10" s="503" t="s">
        <v>412</v>
      </c>
      <c r="AB10" s="501" t="s">
        <v>412</v>
      </c>
      <c r="AC10" s="501" t="s">
        <v>412</v>
      </c>
      <c r="AD10" s="501" t="s">
        <v>412</v>
      </c>
      <c r="AE10" s="504" t="s">
        <v>412</v>
      </c>
      <c r="AF10" s="505" t="s">
        <v>585</v>
      </c>
      <c r="AG10" s="498" t="s">
        <v>586</v>
      </c>
      <c r="AH10" s="499" t="s">
        <v>587</v>
      </c>
    </row>
    <row r="11" spans="1:34" ht="31.5" customHeight="1">
      <c r="A11" s="1302"/>
      <c r="B11" s="353">
        <f t="shared" ref="B11:B16" si="4">B10+1</f>
        <v>164</v>
      </c>
      <c r="C11" s="181" t="s">
        <v>264</v>
      </c>
      <c r="D11" s="430" t="s">
        <v>582</v>
      </c>
      <c r="E11" s="56"/>
      <c r="F11" s="408"/>
      <c r="G11" s="56"/>
      <c r="H11" s="304"/>
      <c r="I11" s="356">
        <v>5469</v>
      </c>
      <c r="J11" s="183"/>
      <c r="K11" s="110" t="s">
        <v>592</v>
      </c>
      <c r="L11" s="172">
        <v>2</v>
      </c>
      <c r="M11" s="58">
        <v>0</v>
      </c>
      <c r="N11" s="108">
        <f t="shared" si="3"/>
        <v>0</v>
      </c>
      <c r="O11" s="1313"/>
      <c r="P11" s="1315"/>
      <c r="Q11" s="57"/>
      <c r="R11" s="257"/>
      <c r="T11" s="466" t="s">
        <v>593</v>
      </c>
      <c r="U11" s="497" t="s">
        <v>594</v>
      </c>
      <c r="W11" s="500" t="s">
        <v>412</v>
      </c>
      <c r="X11" s="501" t="s">
        <v>412</v>
      </c>
      <c r="Y11" s="501" t="s">
        <v>412</v>
      </c>
      <c r="Z11" s="502" t="s">
        <v>412</v>
      </c>
      <c r="AA11" s="503" t="s">
        <v>412</v>
      </c>
      <c r="AB11" s="501" t="s">
        <v>412</v>
      </c>
      <c r="AC11" s="501" t="s">
        <v>412</v>
      </c>
      <c r="AD11" s="501" t="s">
        <v>412</v>
      </c>
      <c r="AE11" s="504" t="s">
        <v>412</v>
      </c>
      <c r="AF11" s="505" t="s">
        <v>585</v>
      </c>
      <c r="AG11" s="498" t="s">
        <v>586</v>
      </c>
      <c r="AH11" s="499" t="s">
        <v>587</v>
      </c>
    </row>
    <row r="12" spans="1:34" ht="36.75" customHeight="1">
      <c r="A12" s="1302"/>
      <c r="B12" s="353">
        <f t="shared" si="4"/>
        <v>165</v>
      </c>
      <c r="C12" s="181" t="s">
        <v>265</v>
      </c>
      <c r="D12" s="430" t="s">
        <v>595</v>
      </c>
      <c r="E12" s="56"/>
      <c r="F12" s="408"/>
      <c r="G12" s="408"/>
      <c r="H12" s="304"/>
      <c r="I12" s="356">
        <v>3594</v>
      </c>
      <c r="J12" s="183"/>
      <c r="K12" s="110" t="s">
        <v>592</v>
      </c>
      <c r="L12" s="172">
        <v>2</v>
      </c>
      <c r="M12" s="58">
        <v>0</v>
      </c>
      <c r="N12" s="108">
        <f t="shared" si="3"/>
        <v>0</v>
      </c>
      <c r="O12" s="1313"/>
      <c r="P12" s="1315"/>
      <c r="Q12" s="57"/>
      <c r="R12" s="257"/>
      <c r="T12" s="466" t="s">
        <v>596</v>
      </c>
      <c r="U12" s="497" t="s">
        <v>597</v>
      </c>
      <c r="W12" s="500" t="s">
        <v>412</v>
      </c>
      <c r="X12" s="501" t="s">
        <v>412</v>
      </c>
      <c r="Y12" s="501" t="s">
        <v>412</v>
      </c>
      <c r="Z12" s="502" t="s">
        <v>412</v>
      </c>
      <c r="AA12" s="503" t="s">
        <v>412</v>
      </c>
      <c r="AB12" s="501" t="s">
        <v>412</v>
      </c>
      <c r="AC12" s="501" t="s">
        <v>412</v>
      </c>
      <c r="AD12" s="501" t="s">
        <v>412</v>
      </c>
      <c r="AE12" s="504" t="s">
        <v>412</v>
      </c>
      <c r="AF12" s="505" t="s">
        <v>585</v>
      </c>
      <c r="AG12" s="498" t="s">
        <v>586</v>
      </c>
      <c r="AH12" s="499" t="s">
        <v>587</v>
      </c>
    </row>
    <row r="13" spans="1:34" ht="31.5" customHeight="1">
      <c r="A13" s="1302"/>
      <c r="B13" s="353">
        <f t="shared" si="4"/>
        <v>166</v>
      </c>
      <c r="C13" s="181" t="s">
        <v>266</v>
      </c>
      <c r="D13" s="430" t="s">
        <v>595</v>
      </c>
      <c r="E13" s="408"/>
      <c r="F13" s="408"/>
      <c r="G13" s="408"/>
      <c r="H13" s="408"/>
      <c r="I13" s="356">
        <v>7813</v>
      </c>
      <c r="J13" s="183"/>
      <c r="K13" s="110" t="s">
        <v>592</v>
      </c>
      <c r="L13" s="172">
        <v>20</v>
      </c>
      <c r="M13" s="58">
        <v>11</v>
      </c>
      <c r="N13" s="108">
        <f t="shared" si="3"/>
        <v>0.55000000000000004</v>
      </c>
      <c r="O13" s="1313"/>
      <c r="P13" s="1315"/>
      <c r="Q13" s="57"/>
      <c r="R13" s="257"/>
      <c r="T13" s="466" t="s">
        <v>598</v>
      </c>
      <c r="U13" s="497" t="s">
        <v>599</v>
      </c>
      <c r="W13" s="500" t="s">
        <v>412</v>
      </c>
      <c r="X13" s="501" t="s">
        <v>412</v>
      </c>
      <c r="Y13" s="501" t="s">
        <v>412</v>
      </c>
      <c r="Z13" s="502" t="s">
        <v>412</v>
      </c>
      <c r="AA13" s="503" t="s">
        <v>412</v>
      </c>
      <c r="AB13" s="501" t="s">
        <v>412</v>
      </c>
      <c r="AC13" s="501" t="s">
        <v>412</v>
      </c>
      <c r="AD13" s="501" t="s">
        <v>412</v>
      </c>
      <c r="AE13" s="504" t="s">
        <v>412</v>
      </c>
      <c r="AF13" s="505" t="s">
        <v>585</v>
      </c>
      <c r="AG13" s="498" t="s">
        <v>600</v>
      </c>
      <c r="AH13" s="499" t="s">
        <v>587</v>
      </c>
    </row>
    <row r="14" spans="1:34" ht="31.5" customHeight="1">
      <c r="A14" s="1302"/>
      <c r="B14" s="353"/>
      <c r="C14" s="181" t="s">
        <v>267</v>
      </c>
      <c r="D14" s="430" t="s">
        <v>78</v>
      </c>
      <c r="E14" s="56"/>
      <c r="F14" s="56"/>
      <c r="G14" s="56"/>
      <c r="H14" s="304"/>
      <c r="I14" s="356">
        <v>0</v>
      </c>
      <c r="J14" s="183"/>
      <c r="K14" s="110"/>
      <c r="L14" s="172"/>
      <c r="M14" s="58"/>
      <c r="N14" s="108" t="str">
        <f t="shared" si="3"/>
        <v/>
      </c>
      <c r="O14" s="1313"/>
      <c r="P14" s="1315"/>
      <c r="Q14" s="57"/>
      <c r="R14" s="257"/>
      <c r="T14" s="466" t="s">
        <v>601</v>
      </c>
      <c r="U14" s="497"/>
      <c r="W14" s="500"/>
      <c r="X14" s="501"/>
      <c r="Y14" s="501"/>
      <c r="Z14" s="502"/>
      <c r="AA14" s="503"/>
      <c r="AB14" s="501"/>
      <c r="AC14" s="501"/>
      <c r="AD14" s="501"/>
      <c r="AE14" s="504"/>
      <c r="AF14" s="505"/>
      <c r="AG14" s="498"/>
      <c r="AH14" s="499"/>
    </row>
    <row r="15" spans="1:34" ht="31.5" customHeight="1">
      <c r="A15" s="1302"/>
      <c r="B15" s="353">
        <v>167</v>
      </c>
      <c r="C15" s="181" t="s">
        <v>602</v>
      </c>
      <c r="D15" s="430" t="s">
        <v>588</v>
      </c>
      <c r="E15" s="56"/>
      <c r="F15" s="408"/>
      <c r="G15" s="408"/>
      <c r="H15" s="304"/>
      <c r="I15" s="356">
        <v>5469</v>
      </c>
      <c r="J15" s="183"/>
      <c r="K15" s="110" t="s">
        <v>603</v>
      </c>
      <c r="L15" s="172">
        <v>4</v>
      </c>
      <c r="M15" s="58">
        <v>4</v>
      </c>
      <c r="N15" s="108">
        <f t="shared" si="3"/>
        <v>1</v>
      </c>
      <c r="O15" s="1313"/>
      <c r="P15" s="1315"/>
      <c r="Q15" s="57"/>
      <c r="R15" s="257"/>
      <c r="T15" s="466" t="s">
        <v>604</v>
      </c>
      <c r="U15" s="497" t="s">
        <v>605</v>
      </c>
      <c r="W15" s="500" t="s">
        <v>412</v>
      </c>
      <c r="X15" s="501" t="s">
        <v>412</v>
      </c>
      <c r="Y15" s="501" t="s">
        <v>412</v>
      </c>
      <c r="Z15" s="502" t="s">
        <v>412</v>
      </c>
      <c r="AA15" s="503" t="s">
        <v>412</v>
      </c>
      <c r="AB15" s="501" t="s">
        <v>412</v>
      </c>
      <c r="AC15" s="501" t="s">
        <v>412</v>
      </c>
      <c r="AD15" s="501" t="s">
        <v>412</v>
      </c>
      <c r="AE15" s="504" t="s">
        <v>412</v>
      </c>
      <c r="AF15" s="505" t="s">
        <v>585</v>
      </c>
      <c r="AG15" s="498" t="s">
        <v>606</v>
      </c>
      <c r="AH15" s="499" t="s">
        <v>587</v>
      </c>
    </row>
    <row r="16" spans="1:34" ht="31.5" customHeight="1">
      <c r="A16" s="1310"/>
      <c r="B16" s="353">
        <f t="shared" si="4"/>
        <v>168</v>
      </c>
      <c r="C16" s="181" t="s">
        <v>269</v>
      </c>
      <c r="D16" s="430" t="s">
        <v>607</v>
      </c>
      <c r="E16" s="408"/>
      <c r="F16" s="408"/>
      <c r="G16" s="408"/>
      <c r="H16" s="408"/>
      <c r="I16" s="356">
        <v>9375</v>
      </c>
      <c r="J16" s="183"/>
      <c r="K16" s="110" t="s">
        <v>608</v>
      </c>
      <c r="L16" s="172">
        <v>12</v>
      </c>
      <c r="M16" s="58">
        <v>12</v>
      </c>
      <c r="N16" s="108">
        <f t="shared" si="3"/>
        <v>1</v>
      </c>
      <c r="O16" s="1313"/>
      <c r="P16" s="1315"/>
      <c r="Q16" s="57"/>
      <c r="R16" s="257"/>
      <c r="T16" s="466" t="s">
        <v>609</v>
      </c>
      <c r="U16" s="497" t="s">
        <v>610</v>
      </c>
      <c r="W16" s="500" t="s">
        <v>412</v>
      </c>
      <c r="X16" s="501" t="s">
        <v>412</v>
      </c>
      <c r="Y16" s="501" t="s">
        <v>412</v>
      </c>
      <c r="Z16" s="502" t="s">
        <v>412</v>
      </c>
      <c r="AA16" s="503" t="s">
        <v>412</v>
      </c>
      <c r="AB16" s="501" t="s">
        <v>412</v>
      </c>
      <c r="AC16" s="501" t="s">
        <v>412</v>
      </c>
      <c r="AD16" s="501" t="s">
        <v>412</v>
      </c>
      <c r="AE16" s="504" t="s">
        <v>412</v>
      </c>
      <c r="AF16" s="505" t="s">
        <v>585</v>
      </c>
      <c r="AG16" s="498" t="s">
        <v>586</v>
      </c>
      <c r="AH16" s="499" t="s">
        <v>587</v>
      </c>
    </row>
    <row r="17" spans="1:34">
      <c r="A17" s="1311"/>
      <c r="B17" s="65"/>
      <c r="C17" s="66"/>
      <c r="D17" s="189"/>
      <c r="E17" s="67"/>
      <c r="F17" s="67"/>
      <c r="G17" s="67"/>
      <c r="H17" s="66"/>
      <c r="I17" s="359">
        <f t="shared" ref="I17" si="5">SUM(I8:I16)</f>
        <v>53752</v>
      </c>
      <c r="J17" s="139"/>
      <c r="K17" s="111"/>
      <c r="L17" s="440">
        <f>SUM(L8:L16)</f>
        <v>54</v>
      </c>
      <c r="M17" s="443">
        <f>SUM(M8:M16)</f>
        <v>30</v>
      </c>
      <c r="N17" s="444">
        <f>IFERROR(AVERAGE(N8:N16),"")</f>
        <v>0.39999999999999997</v>
      </c>
      <c r="O17" s="380">
        <f>IFERROR(AVERAGE(N8:N16),"")</f>
        <v>0.39999999999999997</v>
      </c>
      <c r="P17" s="1315"/>
      <c r="Q17" s="352">
        <f>SUM(Q8:Q16)</f>
        <v>0</v>
      </c>
      <c r="R17" s="70">
        <f>SUM(R8:R16)</f>
        <v>0</v>
      </c>
      <c r="T17" s="68"/>
      <c r="U17" s="467"/>
      <c r="W17" s="478"/>
      <c r="X17" s="67"/>
      <c r="Y17" s="67"/>
      <c r="Z17" s="67"/>
      <c r="AA17" s="67"/>
      <c r="AB17" s="67"/>
      <c r="AC17" s="67"/>
      <c r="AD17" s="67"/>
      <c r="AE17" s="67"/>
      <c r="AF17" s="67"/>
      <c r="AG17" s="67"/>
      <c r="AH17" s="467"/>
    </row>
    <row r="18" spans="1:34" ht="39.75" customHeight="1">
      <c r="A18" s="360" t="s">
        <v>270</v>
      </c>
      <c r="B18" s="361"/>
      <c r="C18" s="361"/>
      <c r="D18" s="362"/>
      <c r="E18" s="363" t="s">
        <v>248</v>
      </c>
      <c r="F18" s="364" t="s">
        <v>249</v>
      </c>
      <c r="G18" s="364" t="s">
        <v>250</v>
      </c>
      <c r="H18" s="365" t="s">
        <v>251</v>
      </c>
      <c r="I18" s="389">
        <f>I20+I25+I29</f>
        <v>298641</v>
      </c>
      <c r="J18" s="366"/>
      <c r="K18" s="367"/>
      <c r="L18" s="368"/>
      <c r="M18" s="369"/>
      <c r="N18" s="370"/>
      <c r="O18" s="371"/>
      <c r="P18" s="1315"/>
      <c r="Q18" s="373">
        <f>Q20+Q25+Q29</f>
        <v>0</v>
      </c>
      <c r="R18" s="374">
        <f>R20+R25+R29</f>
        <v>0</v>
      </c>
      <c r="T18" s="464" t="s">
        <v>270</v>
      </c>
      <c r="U18" s="465"/>
      <c r="W18" s="464" t="s">
        <v>270</v>
      </c>
      <c r="X18" s="465"/>
      <c r="Y18" s="465"/>
      <c r="Z18" s="465"/>
      <c r="AA18" s="465"/>
      <c r="AB18" s="465"/>
      <c r="AC18" s="465"/>
      <c r="AD18" s="465"/>
      <c r="AE18" s="465"/>
      <c r="AF18" s="465"/>
      <c r="AG18" s="465"/>
      <c r="AH18" s="465"/>
    </row>
    <row r="19" spans="1:34" ht="31.5" customHeight="1">
      <c r="A19" s="1317" t="s">
        <v>271</v>
      </c>
      <c r="B19" s="168">
        <f>B16+1</f>
        <v>169</v>
      </c>
      <c r="C19" s="180" t="s">
        <v>272</v>
      </c>
      <c r="D19" s="422" t="s">
        <v>595</v>
      </c>
      <c r="E19" s="408"/>
      <c r="F19" s="408"/>
      <c r="G19" s="56"/>
      <c r="H19" s="304"/>
      <c r="I19" s="356">
        <v>12000</v>
      </c>
      <c r="J19" s="182"/>
      <c r="K19" s="110" t="s">
        <v>611</v>
      </c>
      <c r="L19" s="172">
        <v>12</v>
      </c>
      <c r="M19" s="58">
        <v>0</v>
      </c>
      <c r="N19" s="376">
        <f>IF(L19,MIN(1,M19/L19),"")</f>
        <v>0</v>
      </c>
      <c r="O19" s="1318"/>
      <c r="P19" s="1315"/>
      <c r="Q19" s="57"/>
      <c r="R19" s="257"/>
      <c r="T19" s="466" t="s">
        <v>612</v>
      </c>
      <c r="U19" s="497" t="s">
        <v>613</v>
      </c>
      <c r="W19" s="500" t="s">
        <v>412</v>
      </c>
      <c r="X19" s="501" t="s">
        <v>412</v>
      </c>
      <c r="Y19" s="501" t="s">
        <v>412</v>
      </c>
      <c r="Z19" s="502" t="s">
        <v>412</v>
      </c>
      <c r="AA19" s="503" t="s">
        <v>412</v>
      </c>
      <c r="AB19" s="501" t="s">
        <v>412</v>
      </c>
      <c r="AC19" s="501" t="s">
        <v>412</v>
      </c>
      <c r="AD19" s="501" t="s">
        <v>412</v>
      </c>
      <c r="AE19" s="504" t="s">
        <v>412</v>
      </c>
      <c r="AF19" s="505" t="s">
        <v>585</v>
      </c>
      <c r="AG19" s="498" t="s">
        <v>614</v>
      </c>
      <c r="AH19" s="499" t="s">
        <v>587</v>
      </c>
    </row>
    <row r="20" spans="1:34">
      <c r="A20" s="1311"/>
      <c r="B20" s="65"/>
      <c r="C20" s="66"/>
      <c r="D20" s="189"/>
      <c r="E20" s="67"/>
      <c r="F20" s="67"/>
      <c r="G20" s="67"/>
      <c r="H20" s="66"/>
      <c r="I20" s="359">
        <f t="shared" ref="I20" si="6">SUM(I19:I19)</f>
        <v>12000</v>
      </c>
      <c r="J20" s="139"/>
      <c r="K20" s="111"/>
      <c r="L20" s="440">
        <f>SUM(L19:L19)</f>
        <v>12</v>
      </c>
      <c r="M20" s="443">
        <f>SUM(M19:M19)</f>
        <v>0</v>
      </c>
      <c r="N20" s="273">
        <f>IFERROR(AVERAGE(N19:N19),"")</f>
        <v>0</v>
      </c>
      <c r="O20" s="1319"/>
      <c r="P20" s="1315"/>
      <c r="Q20" s="352">
        <f>SUM(Q19:Q19)</f>
        <v>0</v>
      </c>
      <c r="R20" s="70">
        <f>SUM(R19:R19)</f>
        <v>0</v>
      </c>
      <c r="T20" s="68"/>
      <c r="U20" s="468"/>
      <c r="W20" s="478"/>
      <c r="X20" s="67"/>
      <c r="Y20" s="67"/>
      <c r="Z20" s="67"/>
      <c r="AA20" s="67"/>
      <c r="AB20" s="67"/>
      <c r="AC20" s="67"/>
      <c r="AD20" s="67"/>
      <c r="AE20" s="67"/>
      <c r="AF20" s="67"/>
      <c r="AG20" s="67"/>
      <c r="AH20" s="467"/>
    </row>
    <row r="21" spans="1:34" ht="31.5" customHeight="1">
      <c r="A21" s="1321" t="s">
        <v>273</v>
      </c>
      <c r="B21" s="168">
        <f>B19+1</f>
        <v>170</v>
      </c>
      <c r="C21" s="180" t="s">
        <v>274</v>
      </c>
      <c r="D21" s="181" t="s">
        <v>78</v>
      </c>
      <c r="E21" s="403"/>
      <c r="F21" s="404"/>
      <c r="G21" s="404"/>
      <c r="H21" s="405"/>
      <c r="I21" s="356">
        <v>7813</v>
      </c>
      <c r="J21" s="357"/>
      <c r="K21" s="112" t="s">
        <v>488</v>
      </c>
      <c r="L21" s="174">
        <v>1</v>
      </c>
      <c r="M21" s="58">
        <v>0</v>
      </c>
      <c r="N21" s="108">
        <f t="shared" ref="N21:N24" si="7">IF(L21,MIN(1,M21/L21),"")</f>
        <v>0</v>
      </c>
      <c r="O21" s="1319"/>
      <c r="P21" s="1315"/>
      <c r="Q21" s="57"/>
      <c r="R21" s="258"/>
      <c r="T21" s="466" t="s">
        <v>615</v>
      </c>
      <c r="U21" s="497" t="s">
        <v>616</v>
      </c>
      <c r="W21" s="500" t="s">
        <v>412</v>
      </c>
      <c r="X21" s="501" t="s">
        <v>412</v>
      </c>
      <c r="Y21" s="501" t="s">
        <v>412</v>
      </c>
      <c r="Z21" s="502" t="s">
        <v>412</v>
      </c>
      <c r="AA21" s="503" t="s">
        <v>412</v>
      </c>
      <c r="AB21" s="501" t="s">
        <v>412</v>
      </c>
      <c r="AC21" s="501" t="s">
        <v>617</v>
      </c>
      <c r="AD21" s="501" t="s">
        <v>412</v>
      </c>
      <c r="AE21" s="504" t="s">
        <v>618</v>
      </c>
      <c r="AF21" s="505" t="s">
        <v>585</v>
      </c>
      <c r="AG21" s="498" t="s">
        <v>619</v>
      </c>
      <c r="AH21" s="499" t="s">
        <v>587</v>
      </c>
    </row>
    <row r="22" spans="1:34" ht="31.5" customHeight="1">
      <c r="A22" s="1322"/>
      <c r="B22" s="353">
        <f>B21+1</f>
        <v>171</v>
      </c>
      <c r="C22" s="181" t="s">
        <v>275</v>
      </c>
      <c r="D22" s="181" t="s">
        <v>78</v>
      </c>
      <c r="E22" s="406"/>
      <c r="F22" s="407"/>
      <c r="G22" s="408"/>
      <c r="H22" s="409"/>
      <c r="I22" s="356">
        <v>11719</v>
      </c>
      <c r="J22" s="357"/>
      <c r="K22" s="110" t="s">
        <v>488</v>
      </c>
      <c r="L22" s="172">
        <v>1</v>
      </c>
      <c r="M22" s="58">
        <v>0</v>
      </c>
      <c r="N22" s="108">
        <f t="shared" si="7"/>
        <v>0</v>
      </c>
      <c r="O22" s="1319"/>
      <c r="P22" s="1315"/>
      <c r="Q22" s="57"/>
      <c r="R22" s="257"/>
      <c r="T22" s="466" t="s">
        <v>620</v>
      </c>
      <c r="U22" s="497" t="s">
        <v>621</v>
      </c>
      <c r="W22" s="500" t="s">
        <v>412</v>
      </c>
      <c r="X22" s="501" t="s">
        <v>412</v>
      </c>
      <c r="Y22" s="501" t="s">
        <v>412</v>
      </c>
      <c r="Z22" s="502" t="s">
        <v>412</v>
      </c>
      <c r="AA22" s="503" t="s">
        <v>412</v>
      </c>
      <c r="AB22" s="501" t="s">
        <v>412</v>
      </c>
      <c r="AC22" s="501" t="s">
        <v>617</v>
      </c>
      <c r="AD22" s="501" t="s">
        <v>412</v>
      </c>
      <c r="AE22" s="504" t="s">
        <v>618</v>
      </c>
      <c r="AF22" s="505" t="s">
        <v>585</v>
      </c>
      <c r="AG22" s="498" t="s">
        <v>619</v>
      </c>
      <c r="AH22" s="499" t="s">
        <v>587</v>
      </c>
    </row>
    <row r="23" spans="1:34" ht="31.5" customHeight="1">
      <c r="A23" s="1322"/>
      <c r="B23" s="353">
        <f t="shared" ref="B23:B24" si="8">B22+1</f>
        <v>172</v>
      </c>
      <c r="C23" s="181" t="s">
        <v>276</v>
      </c>
      <c r="D23" s="181" t="s">
        <v>485</v>
      </c>
      <c r="E23" s="410"/>
      <c r="F23" s="408"/>
      <c r="G23" s="411"/>
      <c r="H23" s="412"/>
      <c r="I23" s="356">
        <v>2109</v>
      </c>
      <c r="J23" s="357"/>
      <c r="K23" s="110" t="s">
        <v>489</v>
      </c>
      <c r="L23" s="172">
        <v>2</v>
      </c>
      <c r="M23" s="58">
        <v>2</v>
      </c>
      <c r="N23" s="108">
        <f t="shared" si="7"/>
        <v>1</v>
      </c>
      <c r="O23" s="1319"/>
      <c r="P23" s="1315"/>
      <c r="Q23" s="57"/>
      <c r="R23" s="257"/>
      <c r="T23" s="466" t="s">
        <v>622</v>
      </c>
      <c r="U23" s="497" t="s">
        <v>623</v>
      </c>
      <c r="W23" s="500" t="s">
        <v>412</v>
      </c>
      <c r="X23" s="501" t="s">
        <v>412</v>
      </c>
      <c r="Y23" s="501" t="s">
        <v>412</v>
      </c>
      <c r="Z23" s="502" t="s">
        <v>412</v>
      </c>
      <c r="AA23" s="503" t="s">
        <v>412</v>
      </c>
      <c r="AB23" s="501" t="s">
        <v>412</v>
      </c>
      <c r="AC23" s="501" t="s">
        <v>412</v>
      </c>
      <c r="AD23" s="501" t="s">
        <v>412</v>
      </c>
      <c r="AE23" s="504" t="s">
        <v>412</v>
      </c>
      <c r="AF23" s="505" t="s">
        <v>585</v>
      </c>
      <c r="AG23" s="498" t="s">
        <v>624</v>
      </c>
      <c r="AH23" s="499" t="s">
        <v>587</v>
      </c>
    </row>
    <row r="24" spans="1:34" ht="31.5" customHeight="1">
      <c r="A24" s="1322"/>
      <c r="B24" s="353">
        <f t="shared" si="8"/>
        <v>173</v>
      </c>
      <c r="C24" s="181" t="s">
        <v>277</v>
      </c>
      <c r="D24" s="181" t="s">
        <v>490</v>
      </c>
      <c r="E24" s="410"/>
      <c r="F24" s="408"/>
      <c r="G24" s="411"/>
      <c r="H24" s="412"/>
      <c r="I24" s="356">
        <v>2109</v>
      </c>
      <c r="J24" s="357"/>
      <c r="K24" s="110" t="s">
        <v>489</v>
      </c>
      <c r="L24" s="172">
        <v>2</v>
      </c>
      <c r="M24" s="58">
        <v>2</v>
      </c>
      <c r="N24" s="108">
        <f t="shared" si="7"/>
        <v>1</v>
      </c>
      <c r="O24" s="1319"/>
      <c r="P24" s="1315"/>
      <c r="Q24" s="57"/>
      <c r="R24" s="257"/>
      <c r="T24" s="466" t="s">
        <v>625</v>
      </c>
      <c r="U24" s="497" t="s">
        <v>626</v>
      </c>
      <c r="W24" s="500" t="s">
        <v>412</v>
      </c>
      <c r="X24" s="501" t="s">
        <v>412</v>
      </c>
      <c r="Y24" s="501" t="s">
        <v>412</v>
      </c>
      <c r="Z24" s="502" t="s">
        <v>412</v>
      </c>
      <c r="AA24" s="503" t="s">
        <v>412</v>
      </c>
      <c r="AB24" s="501" t="s">
        <v>412</v>
      </c>
      <c r="AC24" s="501" t="s">
        <v>412</v>
      </c>
      <c r="AD24" s="501" t="s">
        <v>412</v>
      </c>
      <c r="AE24" s="504" t="s">
        <v>412</v>
      </c>
      <c r="AF24" s="505" t="s">
        <v>585</v>
      </c>
      <c r="AG24" s="498" t="s">
        <v>627</v>
      </c>
      <c r="AH24" s="499" t="s">
        <v>587</v>
      </c>
    </row>
    <row r="25" spans="1:34">
      <c r="A25" s="1323"/>
      <c r="B25" s="65"/>
      <c r="C25" s="66"/>
      <c r="D25" s="189"/>
      <c r="E25" s="413"/>
      <c r="F25" s="413"/>
      <c r="G25" s="413"/>
      <c r="H25" s="414"/>
      <c r="I25" s="359">
        <f>SUM(I22:I24)</f>
        <v>15937</v>
      </c>
      <c r="J25" s="358"/>
      <c r="K25" s="111"/>
      <c r="L25" s="440">
        <f>SUM(L21:L24)</f>
        <v>6</v>
      </c>
      <c r="M25" s="443">
        <f>SUM(M21:M24)</f>
        <v>4</v>
      </c>
      <c r="N25" s="273">
        <f>IFERROR(AVERAGE(N21:N24),"")</f>
        <v>0.5</v>
      </c>
      <c r="O25" s="1319"/>
      <c r="P25" s="1315"/>
      <c r="Q25" s="352">
        <f>SUM(Q21:Q24)</f>
        <v>0</v>
      </c>
      <c r="R25" s="70">
        <f>SUM(R21:R24)</f>
        <v>0</v>
      </c>
      <c r="T25" s="68"/>
      <c r="U25" s="467"/>
      <c r="W25" s="478"/>
      <c r="X25" s="67"/>
      <c r="Y25" s="67"/>
      <c r="Z25" s="67"/>
      <c r="AA25" s="67"/>
      <c r="AB25" s="67"/>
      <c r="AC25" s="67"/>
      <c r="AD25" s="67"/>
      <c r="AE25" s="67"/>
      <c r="AF25" s="67"/>
      <c r="AG25" s="67"/>
      <c r="AH25" s="467"/>
    </row>
    <row r="26" spans="1:34" ht="31.5" customHeight="1">
      <c r="A26" s="1321" t="s">
        <v>278</v>
      </c>
      <c r="B26" s="168">
        <v>174</v>
      </c>
      <c r="C26" s="180" t="s">
        <v>279</v>
      </c>
      <c r="D26" s="422" t="s">
        <v>78</v>
      </c>
      <c r="E26" s="408"/>
      <c r="F26" s="408"/>
      <c r="G26" s="408"/>
      <c r="H26" s="408"/>
      <c r="I26" s="356">
        <v>12891</v>
      </c>
      <c r="J26" s="182"/>
      <c r="K26" s="113" t="s">
        <v>628</v>
      </c>
      <c r="L26" s="174">
        <v>22</v>
      </c>
      <c r="M26" s="58">
        <v>19</v>
      </c>
      <c r="N26" s="108">
        <f t="shared" ref="N26:N28" si="9">IF(L26,MIN(1,M26/L26),"")</f>
        <v>0.86363636363636365</v>
      </c>
      <c r="O26" s="1319"/>
      <c r="P26" s="1315"/>
      <c r="Q26" s="57"/>
      <c r="R26" s="258"/>
      <c r="T26" s="466" t="s">
        <v>629</v>
      </c>
      <c r="U26" s="497" t="s">
        <v>630</v>
      </c>
      <c r="W26" s="500" t="s">
        <v>412</v>
      </c>
      <c r="X26" s="501" t="s">
        <v>412</v>
      </c>
      <c r="Y26" s="501" t="s">
        <v>412</v>
      </c>
      <c r="Z26" s="502" t="s">
        <v>412</v>
      </c>
      <c r="AA26" s="503" t="s">
        <v>631</v>
      </c>
      <c r="AB26" s="501" t="s">
        <v>412</v>
      </c>
      <c r="AC26" s="501" t="s">
        <v>632</v>
      </c>
      <c r="AD26" s="501" t="s">
        <v>412</v>
      </c>
      <c r="AE26" s="504" t="s">
        <v>618</v>
      </c>
      <c r="AF26" s="505" t="s">
        <v>585</v>
      </c>
      <c r="AG26" s="498" t="s">
        <v>633</v>
      </c>
      <c r="AH26" s="499" t="s">
        <v>587</v>
      </c>
    </row>
    <row r="27" spans="1:34" ht="31.5" customHeight="1">
      <c r="A27" s="1322"/>
      <c r="B27" s="353">
        <f>B26+1</f>
        <v>175</v>
      </c>
      <c r="C27" s="181" t="s">
        <v>280</v>
      </c>
      <c r="D27" s="431" t="s">
        <v>78</v>
      </c>
      <c r="E27" s="408"/>
      <c r="F27" s="408"/>
      <c r="G27" s="408"/>
      <c r="H27" s="408"/>
      <c r="I27" s="356">
        <v>58594</v>
      </c>
      <c r="J27" s="183"/>
      <c r="K27" s="110" t="s">
        <v>628</v>
      </c>
      <c r="L27" s="172">
        <v>5</v>
      </c>
      <c r="M27" s="58">
        <v>1</v>
      </c>
      <c r="N27" s="108">
        <f t="shared" si="9"/>
        <v>0.2</v>
      </c>
      <c r="O27" s="1319"/>
      <c r="P27" s="1315"/>
      <c r="Q27" s="57"/>
      <c r="R27" s="257"/>
      <c r="T27" s="466" t="s">
        <v>634</v>
      </c>
      <c r="U27" s="497" t="s">
        <v>635</v>
      </c>
      <c r="W27" s="500" t="s">
        <v>412</v>
      </c>
      <c r="X27" s="501" t="s">
        <v>412</v>
      </c>
      <c r="Y27" s="501" t="s">
        <v>412</v>
      </c>
      <c r="Z27" s="502" t="s">
        <v>412</v>
      </c>
      <c r="AA27" s="503" t="s">
        <v>412</v>
      </c>
      <c r="AB27" s="501" t="s">
        <v>412</v>
      </c>
      <c r="AC27" s="501" t="s">
        <v>585</v>
      </c>
      <c r="AD27" s="501" t="s">
        <v>412</v>
      </c>
      <c r="AE27" s="504" t="s">
        <v>618</v>
      </c>
      <c r="AF27" s="505" t="s">
        <v>585</v>
      </c>
      <c r="AG27" s="498" t="s">
        <v>636</v>
      </c>
      <c r="AH27" s="499" t="s">
        <v>587</v>
      </c>
    </row>
    <row r="28" spans="1:34" ht="31.5" customHeight="1">
      <c r="A28" s="1322"/>
      <c r="B28" s="353">
        <f t="shared" ref="B28" si="10">B27+1</f>
        <v>176</v>
      </c>
      <c r="C28" s="181" t="s">
        <v>281</v>
      </c>
      <c r="D28" s="431" t="s">
        <v>637</v>
      </c>
      <c r="E28" s="408"/>
      <c r="F28" s="408"/>
      <c r="G28" s="408"/>
      <c r="H28" s="408"/>
      <c r="I28" s="356">
        <v>199219</v>
      </c>
      <c r="J28" s="183"/>
      <c r="K28" s="110" t="s">
        <v>628</v>
      </c>
      <c r="L28" s="172">
        <v>3</v>
      </c>
      <c r="M28" s="58">
        <v>3</v>
      </c>
      <c r="N28" s="108">
        <f t="shared" si="9"/>
        <v>1</v>
      </c>
      <c r="O28" s="1320"/>
      <c r="P28" s="1316"/>
      <c r="Q28" s="57"/>
      <c r="R28" s="257"/>
      <c r="T28" s="466" t="s">
        <v>638</v>
      </c>
      <c r="U28" s="497" t="s">
        <v>639</v>
      </c>
      <c r="W28" s="500" t="s">
        <v>412</v>
      </c>
      <c r="X28" s="501" t="s">
        <v>412</v>
      </c>
      <c r="Y28" s="501" t="s">
        <v>412</v>
      </c>
      <c r="Z28" s="502" t="s">
        <v>412</v>
      </c>
      <c r="AA28" s="503" t="s">
        <v>412</v>
      </c>
      <c r="AB28" s="501" t="s">
        <v>412</v>
      </c>
      <c r="AC28" s="501" t="s">
        <v>585</v>
      </c>
      <c r="AD28" s="501" t="s">
        <v>412</v>
      </c>
      <c r="AE28" s="504" t="s">
        <v>618</v>
      </c>
      <c r="AF28" s="505" t="s">
        <v>585</v>
      </c>
      <c r="AG28" s="498" t="s">
        <v>640</v>
      </c>
      <c r="AH28" s="499" t="s">
        <v>587</v>
      </c>
    </row>
    <row r="29" spans="1:34" ht="50.25" customHeight="1">
      <c r="A29" s="1323"/>
      <c r="B29" s="65"/>
      <c r="C29" s="66"/>
      <c r="D29" s="67"/>
      <c r="E29" s="67"/>
      <c r="F29" s="67"/>
      <c r="G29" s="67"/>
      <c r="H29" s="66"/>
      <c r="I29" s="359">
        <f>SUM(I26:I28)</f>
        <v>270704</v>
      </c>
      <c r="J29" s="139"/>
      <c r="K29" s="111"/>
      <c r="L29" s="440">
        <f>SUM(L26:L28)</f>
        <v>30</v>
      </c>
      <c r="M29" s="443">
        <f>SUM(M26:M28)</f>
        <v>23</v>
      </c>
      <c r="N29" s="444">
        <f>IFERROR(AVERAGE(N26:N28),"")</f>
        <v>0.68787878787878787</v>
      </c>
      <c r="O29" s="272">
        <f>IFERROR(AVERAGE(N19,N21:N24,N26:N28),"")</f>
        <v>0.50795454545454555</v>
      </c>
      <c r="P29" s="272">
        <f>IFERROR(AVERAGE(N8:N16,N19,N21:N24,N26:N28),"")</f>
        <v>0.45757575757575758</v>
      </c>
      <c r="Q29" s="352">
        <f>SUM(Q26:Q28)</f>
        <v>0</v>
      </c>
      <c r="R29" s="70">
        <f>SUM(R26:R28)</f>
        <v>0</v>
      </c>
      <c r="T29" s="68"/>
      <c r="U29" s="467"/>
      <c r="W29" s="478"/>
      <c r="X29" s="67"/>
      <c r="Y29" s="67"/>
      <c r="Z29" s="67"/>
      <c r="AA29" s="67"/>
      <c r="AB29" s="67"/>
      <c r="AC29" s="67"/>
      <c r="AD29" s="67"/>
      <c r="AE29" s="67"/>
      <c r="AF29" s="67"/>
      <c r="AG29" s="67"/>
      <c r="AH29" s="467"/>
    </row>
    <row r="30" spans="1:34" ht="69.75" customHeight="1">
      <c r="A30" s="339" t="s">
        <v>282</v>
      </c>
      <c r="B30" s="340"/>
      <c r="C30" s="340"/>
      <c r="D30" s="340"/>
      <c r="E30" s="340"/>
      <c r="F30" s="340"/>
      <c r="G30" s="340"/>
      <c r="H30" s="341"/>
      <c r="I30" s="387">
        <f>I31+I36+I47</f>
        <v>139266</v>
      </c>
      <c r="J30" s="342"/>
      <c r="K30" s="343"/>
      <c r="L30" s="344"/>
      <c r="M30" s="345"/>
      <c r="N30" s="346"/>
      <c r="O30" s="346"/>
      <c r="P30" s="347"/>
      <c r="Q30" s="350">
        <f t="shared" ref="Q30:R30" si="11">Q31+Q36+Q47</f>
        <v>0</v>
      </c>
      <c r="R30" s="348">
        <f t="shared" si="11"/>
        <v>0</v>
      </c>
      <c r="T30" s="462" t="s">
        <v>282</v>
      </c>
      <c r="U30" s="463"/>
      <c r="W30" s="474" t="s">
        <v>282</v>
      </c>
      <c r="X30" s="475"/>
      <c r="Y30" s="475"/>
      <c r="Z30" s="475"/>
      <c r="AA30" s="475"/>
      <c r="AB30" s="475"/>
      <c r="AC30" s="475"/>
      <c r="AD30" s="475"/>
      <c r="AE30" s="475"/>
      <c r="AF30" s="475"/>
      <c r="AG30" s="475"/>
      <c r="AH30" s="476"/>
    </row>
    <row r="31" spans="1:34" ht="57" customHeight="1">
      <c r="A31" s="360" t="s">
        <v>283</v>
      </c>
      <c r="B31" s="361"/>
      <c r="C31" s="361"/>
      <c r="D31" s="362"/>
      <c r="E31" s="363" t="s">
        <v>248</v>
      </c>
      <c r="F31" s="364" t="s">
        <v>249</v>
      </c>
      <c r="G31" s="364" t="s">
        <v>250</v>
      </c>
      <c r="H31" s="365" t="s">
        <v>251</v>
      </c>
      <c r="I31" s="389">
        <f t="shared" ref="I31" si="12">I35</f>
        <v>6938</v>
      </c>
      <c r="J31" s="366"/>
      <c r="K31" s="367"/>
      <c r="L31" s="368"/>
      <c r="M31" s="369"/>
      <c r="N31" s="370"/>
      <c r="O31" s="371"/>
      <c r="P31" s="372"/>
      <c r="Q31" s="373">
        <f t="shared" ref="Q31:R31" si="13">Q35</f>
        <v>0</v>
      </c>
      <c r="R31" s="374">
        <f t="shared" si="13"/>
        <v>0</v>
      </c>
      <c r="T31" s="464" t="s">
        <v>283</v>
      </c>
      <c r="U31" s="465"/>
      <c r="W31" s="464" t="s">
        <v>283</v>
      </c>
      <c r="X31" s="458"/>
      <c r="Y31" s="458"/>
      <c r="Z31" s="458"/>
      <c r="AA31" s="458"/>
      <c r="AB31" s="458"/>
      <c r="AC31" s="458"/>
      <c r="AD31" s="458"/>
      <c r="AE31" s="458"/>
      <c r="AF31" s="458"/>
      <c r="AG31" s="458"/>
      <c r="AH31" s="465"/>
    </row>
    <row r="32" spans="1:34" ht="58.5" customHeight="1">
      <c r="A32" s="1301" t="s">
        <v>284</v>
      </c>
      <c r="B32" s="167"/>
      <c r="C32" s="180" t="s">
        <v>285</v>
      </c>
      <c r="D32" s="190" t="s">
        <v>78</v>
      </c>
      <c r="E32" s="55"/>
      <c r="F32" s="61"/>
      <c r="G32" s="61"/>
      <c r="H32" s="60"/>
      <c r="I32" s="356"/>
      <c r="J32" s="182"/>
      <c r="K32" s="113"/>
      <c r="L32" s="175"/>
      <c r="M32" s="58"/>
      <c r="N32" s="108" t="str">
        <f t="shared" ref="N32:N34" si="14">IF(L32,MIN(1,M32/L32),"")</f>
        <v/>
      </c>
      <c r="O32" s="1336"/>
      <c r="P32" s="1304"/>
      <c r="Q32" s="165"/>
      <c r="R32" s="260"/>
      <c r="T32" s="466" t="s">
        <v>641</v>
      </c>
      <c r="U32" s="497"/>
      <c r="W32" s="500"/>
      <c r="X32" s="501"/>
      <c r="Y32" s="501"/>
      <c r="Z32" s="502"/>
      <c r="AA32" s="503"/>
      <c r="AB32" s="501"/>
      <c r="AC32" s="501"/>
      <c r="AD32" s="501"/>
      <c r="AE32" s="504"/>
      <c r="AF32" s="505"/>
      <c r="AG32" s="498"/>
      <c r="AH32" s="499"/>
    </row>
    <row r="33" spans="1:34" ht="67.5" customHeight="1">
      <c r="A33" s="1302"/>
      <c r="B33" s="167">
        <v>177</v>
      </c>
      <c r="C33" s="181" t="s">
        <v>286</v>
      </c>
      <c r="D33" s="191" t="s">
        <v>642</v>
      </c>
      <c r="E33" s="408"/>
      <c r="F33" s="408"/>
      <c r="G33" s="408"/>
      <c r="H33" s="60"/>
      <c r="I33" s="356">
        <v>6938</v>
      </c>
      <c r="J33" s="183"/>
      <c r="K33" s="110" t="s">
        <v>643</v>
      </c>
      <c r="L33" s="172">
        <v>6</v>
      </c>
      <c r="M33" s="58">
        <v>5</v>
      </c>
      <c r="N33" s="108">
        <f t="shared" si="14"/>
        <v>0.83333333333333337</v>
      </c>
      <c r="O33" s="1337"/>
      <c r="P33" s="1343"/>
      <c r="Q33" s="165"/>
      <c r="R33" s="257"/>
      <c r="T33" s="466" t="s">
        <v>644</v>
      </c>
      <c r="U33" s="497" t="s">
        <v>645</v>
      </c>
      <c r="W33" s="500" t="s">
        <v>585</v>
      </c>
      <c r="X33" s="501" t="s">
        <v>585</v>
      </c>
      <c r="Y33" s="501" t="s">
        <v>585</v>
      </c>
      <c r="Z33" s="502" t="s">
        <v>412</v>
      </c>
      <c r="AA33" s="503" t="s">
        <v>646</v>
      </c>
      <c r="AB33" s="501" t="s">
        <v>585</v>
      </c>
      <c r="AC33" s="501" t="s">
        <v>585</v>
      </c>
      <c r="AD33" s="501" t="s">
        <v>647</v>
      </c>
      <c r="AE33" s="504" t="s">
        <v>648</v>
      </c>
      <c r="AF33" s="505" t="s">
        <v>585</v>
      </c>
      <c r="AG33" s="498" t="s">
        <v>649</v>
      </c>
      <c r="AH33" s="499" t="s">
        <v>587</v>
      </c>
    </row>
    <row r="34" spans="1:34" ht="31.5" customHeight="1">
      <c r="A34" s="1302"/>
      <c r="B34" s="167"/>
      <c r="C34" s="181" t="s">
        <v>287</v>
      </c>
      <c r="D34" s="191" t="s">
        <v>78</v>
      </c>
      <c r="E34" s="55"/>
      <c r="F34" s="61"/>
      <c r="G34" s="61"/>
      <c r="H34" s="60"/>
      <c r="I34" s="356"/>
      <c r="J34" s="183"/>
      <c r="K34" s="110"/>
      <c r="L34" s="172"/>
      <c r="M34" s="58"/>
      <c r="N34" s="108" t="str">
        <f t="shared" si="14"/>
        <v/>
      </c>
      <c r="O34" s="1337"/>
      <c r="P34" s="1343"/>
      <c r="Q34" s="165"/>
      <c r="R34" s="257"/>
      <c r="T34" s="466" t="s">
        <v>650</v>
      </c>
      <c r="U34" s="497"/>
      <c r="W34" s="500"/>
      <c r="X34" s="501"/>
      <c r="Y34" s="501"/>
      <c r="Z34" s="502"/>
      <c r="AA34" s="503"/>
      <c r="AB34" s="501"/>
      <c r="AC34" s="501"/>
      <c r="AD34" s="501"/>
      <c r="AE34" s="504"/>
      <c r="AF34" s="505"/>
      <c r="AG34" s="498"/>
      <c r="AH34" s="499"/>
    </row>
    <row r="35" spans="1:34">
      <c r="A35" s="1303"/>
      <c r="B35" s="65"/>
      <c r="C35" s="81"/>
      <c r="D35" s="120"/>
      <c r="E35" s="67"/>
      <c r="F35" s="67"/>
      <c r="G35" s="67"/>
      <c r="H35" s="66"/>
      <c r="I35" s="359">
        <f t="shared" ref="I35" si="15">SUM(I32:I34)</f>
        <v>6938</v>
      </c>
      <c r="J35" s="139"/>
      <c r="K35" s="111"/>
      <c r="L35" s="440">
        <f>SUM(L32:L34)</f>
        <v>6</v>
      </c>
      <c r="M35" s="443">
        <f>SUM(M32:M34)</f>
        <v>5</v>
      </c>
      <c r="N35" s="444">
        <f>IFERROR(AVERAGE(N32:N34),"")</f>
        <v>0.83333333333333337</v>
      </c>
      <c r="O35" s="380">
        <f>IFERROR(AVERAGE(N32:N34),"")</f>
        <v>0.83333333333333337</v>
      </c>
      <c r="P35" s="1343"/>
      <c r="Q35" s="352">
        <f t="shared" ref="Q35:R35" si="16">SUM(Q32:Q34)</f>
        <v>0</v>
      </c>
      <c r="R35" s="70">
        <f t="shared" si="16"/>
        <v>0</v>
      </c>
      <c r="T35" s="68"/>
      <c r="U35" s="469"/>
      <c r="W35" s="478"/>
      <c r="X35" s="67"/>
      <c r="Y35" s="67"/>
      <c r="Z35" s="67"/>
      <c r="AA35" s="67"/>
      <c r="AB35" s="67"/>
      <c r="AC35" s="67"/>
      <c r="AD35" s="67"/>
      <c r="AE35" s="67"/>
      <c r="AF35" s="67"/>
      <c r="AG35" s="67"/>
      <c r="AH35" s="467"/>
    </row>
    <row r="36" spans="1:34" ht="30.75" customHeight="1">
      <c r="A36" s="360" t="s">
        <v>288</v>
      </c>
      <c r="B36" s="361"/>
      <c r="C36" s="361"/>
      <c r="D36" s="362"/>
      <c r="E36" s="363" t="s">
        <v>248</v>
      </c>
      <c r="F36" s="364" t="s">
        <v>249</v>
      </c>
      <c r="G36" s="364" t="s">
        <v>250</v>
      </c>
      <c r="H36" s="365" t="s">
        <v>251</v>
      </c>
      <c r="I36" s="389">
        <f t="shared" ref="I36" si="17">I40+I43</f>
        <v>68672</v>
      </c>
      <c r="J36" s="366"/>
      <c r="K36" s="367"/>
      <c r="L36" s="368"/>
      <c r="M36" s="369"/>
      <c r="N36" s="370"/>
      <c r="O36" s="371"/>
      <c r="P36" s="1343"/>
      <c r="Q36" s="373">
        <f t="shared" ref="Q36:R36" si="18">Q40+Q43</f>
        <v>0</v>
      </c>
      <c r="R36" s="374">
        <f t="shared" si="18"/>
        <v>0</v>
      </c>
      <c r="T36" s="464" t="s">
        <v>288</v>
      </c>
      <c r="U36" s="465"/>
      <c r="W36" s="464" t="s">
        <v>288</v>
      </c>
      <c r="X36" s="458"/>
      <c r="Y36" s="458"/>
      <c r="Z36" s="458"/>
      <c r="AA36" s="458"/>
      <c r="AB36" s="458"/>
      <c r="AC36" s="458"/>
      <c r="AD36" s="458"/>
      <c r="AE36" s="458"/>
      <c r="AF36" s="458"/>
      <c r="AG36" s="458"/>
      <c r="AH36" s="465"/>
    </row>
    <row r="37" spans="1:34" ht="31.5" customHeight="1">
      <c r="A37" s="1347" t="s">
        <v>289</v>
      </c>
      <c r="B37" s="167">
        <v>178</v>
      </c>
      <c r="C37" s="180" t="s">
        <v>290</v>
      </c>
      <c r="D37" s="422" t="s">
        <v>78</v>
      </c>
      <c r="E37" s="408"/>
      <c r="F37" s="408"/>
      <c r="G37" s="61"/>
      <c r="H37" s="60"/>
      <c r="I37" s="356">
        <v>3828</v>
      </c>
      <c r="J37" s="182"/>
      <c r="K37" s="171" t="s">
        <v>643</v>
      </c>
      <c r="L37" s="1125">
        <v>1</v>
      </c>
      <c r="M37" s="58">
        <v>1</v>
      </c>
      <c r="N37" s="109">
        <f t="shared" ref="N37:N39" si="19">IF(L37,MIN(1,M37/L37),"")</f>
        <v>1</v>
      </c>
      <c r="O37" s="1339"/>
      <c r="P37" s="1343"/>
      <c r="Q37" s="165"/>
      <c r="R37" s="257"/>
      <c r="T37" s="466" t="s">
        <v>651</v>
      </c>
      <c r="U37" s="497" t="s">
        <v>652</v>
      </c>
      <c r="W37" s="500" t="s">
        <v>653</v>
      </c>
      <c r="X37" s="501" t="s">
        <v>654</v>
      </c>
      <c r="Y37" s="501" t="s">
        <v>655</v>
      </c>
      <c r="Z37" s="502" t="s">
        <v>412</v>
      </c>
      <c r="AA37" s="503" t="s">
        <v>656</v>
      </c>
      <c r="AB37" s="501" t="s">
        <v>617</v>
      </c>
      <c r="AC37" s="501" t="s">
        <v>585</v>
      </c>
      <c r="AD37" s="501" t="s">
        <v>657</v>
      </c>
      <c r="AE37" s="504" t="s">
        <v>658</v>
      </c>
      <c r="AF37" s="505" t="s">
        <v>585</v>
      </c>
      <c r="AG37" s="498" t="s">
        <v>659</v>
      </c>
      <c r="AH37" s="499" t="s">
        <v>587</v>
      </c>
    </row>
    <row r="38" spans="1:34" ht="31.5" customHeight="1">
      <c r="A38" s="1348"/>
      <c r="B38" s="167">
        <f>B37+1</f>
        <v>179</v>
      </c>
      <c r="C38" s="181" t="s">
        <v>291</v>
      </c>
      <c r="D38" s="431" t="s">
        <v>595</v>
      </c>
      <c r="E38" s="408"/>
      <c r="F38" s="408"/>
      <c r="G38" s="61"/>
      <c r="H38" s="60"/>
      <c r="I38" s="356">
        <v>7500</v>
      </c>
      <c r="J38" s="183"/>
      <c r="K38" s="171" t="s">
        <v>643</v>
      </c>
      <c r="L38" s="1125">
        <v>4</v>
      </c>
      <c r="M38" s="58">
        <v>0</v>
      </c>
      <c r="N38" s="109">
        <f t="shared" si="19"/>
        <v>0</v>
      </c>
      <c r="O38" s="1305"/>
      <c r="P38" s="1343"/>
      <c r="Q38" s="165"/>
      <c r="R38" s="257"/>
      <c r="T38" s="466" t="s">
        <v>660</v>
      </c>
      <c r="U38" s="497" t="s">
        <v>661</v>
      </c>
      <c r="W38" s="500" t="s">
        <v>585</v>
      </c>
      <c r="X38" s="501" t="s">
        <v>585</v>
      </c>
      <c r="Y38" s="501" t="s">
        <v>585</v>
      </c>
      <c r="Z38" s="502" t="s">
        <v>412</v>
      </c>
      <c r="AA38" s="503" t="s">
        <v>662</v>
      </c>
      <c r="AB38" s="501" t="s">
        <v>585</v>
      </c>
      <c r="AC38" s="501" t="s">
        <v>585</v>
      </c>
      <c r="AD38" s="501" t="s">
        <v>647</v>
      </c>
      <c r="AE38" s="504" t="s">
        <v>648</v>
      </c>
      <c r="AF38" s="505" t="s">
        <v>585</v>
      </c>
      <c r="AG38" s="498" t="s">
        <v>649</v>
      </c>
      <c r="AH38" s="499" t="s">
        <v>587</v>
      </c>
    </row>
    <row r="39" spans="1:34" ht="31.5" customHeight="1">
      <c r="A39" s="1348"/>
      <c r="B39" s="167">
        <f>B38+1</f>
        <v>180</v>
      </c>
      <c r="C39" s="181" t="s">
        <v>292</v>
      </c>
      <c r="D39" s="431" t="s">
        <v>588</v>
      </c>
      <c r="E39" s="408"/>
      <c r="F39" s="408"/>
      <c r="G39" s="408"/>
      <c r="H39" s="408"/>
      <c r="I39" s="356">
        <v>14063</v>
      </c>
      <c r="J39" s="184"/>
      <c r="K39" s="171" t="s">
        <v>643</v>
      </c>
      <c r="L39" s="1125">
        <v>60</v>
      </c>
      <c r="M39" s="58">
        <v>67</v>
      </c>
      <c r="N39" s="109">
        <f t="shared" si="19"/>
        <v>1</v>
      </c>
      <c r="O39" s="1305"/>
      <c r="P39" s="1343"/>
      <c r="Q39" s="165"/>
      <c r="R39" s="257"/>
      <c r="T39" s="466" t="s">
        <v>663</v>
      </c>
      <c r="U39" s="497" t="s">
        <v>664</v>
      </c>
      <c r="W39" s="500" t="s">
        <v>665</v>
      </c>
      <c r="X39" s="501" t="s">
        <v>666</v>
      </c>
      <c r="Y39" s="501" t="s">
        <v>667</v>
      </c>
      <c r="Z39" s="502" t="s">
        <v>412</v>
      </c>
      <c r="AA39" s="503" t="s">
        <v>668</v>
      </c>
      <c r="AB39" s="501" t="s">
        <v>585</v>
      </c>
      <c r="AC39" s="501" t="s">
        <v>585</v>
      </c>
      <c r="AD39" s="501" t="s">
        <v>412</v>
      </c>
      <c r="AE39" s="504" t="s">
        <v>669</v>
      </c>
      <c r="AF39" s="505" t="s">
        <v>585</v>
      </c>
      <c r="AG39" s="498" t="s">
        <v>670</v>
      </c>
      <c r="AH39" s="499" t="s">
        <v>587</v>
      </c>
    </row>
    <row r="40" spans="1:34">
      <c r="A40" s="1348"/>
      <c r="B40" s="65"/>
      <c r="C40" s="81"/>
      <c r="D40" s="120"/>
      <c r="E40" s="67"/>
      <c r="F40" s="67"/>
      <c r="G40" s="67"/>
      <c r="H40" s="66"/>
      <c r="I40" s="359">
        <f t="shared" ref="I40" si="20">SUM(I37:I39)</f>
        <v>25391</v>
      </c>
      <c r="J40" s="139"/>
      <c r="K40" s="111"/>
      <c r="L40" s="440">
        <f>SUM(L37:L39)</f>
        <v>65</v>
      </c>
      <c r="M40" s="443">
        <f>SUM(M37:M39)</f>
        <v>68</v>
      </c>
      <c r="N40" s="444">
        <f>IFERROR(AVERAGE(N37:N39),"")</f>
        <v>0.66666666666666663</v>
      </c>
      <c r="O40" s="1305"/>
      <c r="P40" s="1343"/>
      <c r="Q40" s="352">
        <f>SUM(Q37:Q39)</f>
        <v>0</v>
      </c>
      <c r="R40" s="70">
        <f>SUM(R37:R39)</f>
        <v>0</v>
      </c>
      <c r="T40" s="68"/>
      <c r="U40" s="469"/>
      <c r="W40" s="478"/>
      <c r="X40" s="67"/>
      <c r="Y40" s="67"/>
      <c r="Z40" s="67"/>
      <c r="AA40" s="67"/>
      <c r="AB40" s="67"/>
      <c r="AC40" s="67"/>
      <c r="AD40" s="67"/>
      <c r="AE40" s="67"/>
      <c r="AF40" s="67"/>
      <c r="AG40" s="67"/>
      <c r="AH40" s="467"/>
    </row>
    <row r="41" spans="1:34" ht="63" customHeight="1">
      <c r="A41" s="1347" t="s">
        <v>293</v>
      </c>
      <c r="B41" s="167">
        <f>B39+1</f>
        <v>181</v>
      </c>
      <c r="C41" s="180" t="s">
        <v>496</v>
      </c>
      <c r="D41" s="431" t="s">
        <v>588</v>
      </c>
      <c r="E41" s="61"/>
      <c r="F41" s="408"/>
      <c r="G41" s="408"/>
      <c r="H41" s="408"/>
      <c r="I41" s="356">
        <v>25781</v>
      </c>
      <c r="J41" s="182"/>
      <c r="K41" s="171" t="s">
        <v>671</v>
      </c>
      <c r="L41" s="1125">
        <v>3</v>
      </c>
      <c r="M41" s="58">
        <v>0</v>
      </c>
      <c r="N41" s="109">
        <f t="shared" ref="N41:N42" si="21">IF(L41,MIN(1,M41/L41),"")</f>
        <v>0</v>
      </c>
      <c r="O41" s="1305"/>
      <c r="P41" s="1343"/>
      <c r="Q41" s="165"/>
      <c r="R41" s="257"/>
      <c r="T41" s="466" t="s">
        <v>651</v>
      </c>
      <c r="U41" s="497" t="s">
        <v>672</v>
      </c>
      <c r="W41" s="500" t="s">
        <v>665</v>
      </c>
      <c r="X41" s="501" t="s">
        <v>654</v>
      </c>
      <c r="Y41" s="501" t="s">
        <v>667</v>
      </c>
      <c r="Z41" s="502" t="s">
        <v>412</v>
      </c>
      <c r="AA41" s="503" t="s">
        <v>673</v>
      </c>
      <c r="AB41" s="501" t="s">
        <v>412</v>
      </c>
      <c r="AC41" s="501" t="s">
        <v>585</v>
      </c>
      <c r="AD41" s="501" t="s">
        <v>412</v>
      </c>
      <c r="AE41" s="504" t="s">
        <v>412</v>
      </c>
      <c r="AF41" s="505" t="s">
        <v>585</v>
      </c>
      <c r="AG41" s="498" t="s">
        <v>670</v>
      </c>
      <c r="AH41" s="499" t="s">
        <v>587</v>
      </c>
    </row>
    <row r="42" spans="1:34" ht="57" customHeight="1">
      <c r="A42" s="1348"/>
      <c r="B42" s="167">
        <f>B41+1</f>
        <v>182</v>
      </c>
      <c r="C42" s="181" t="s">
        <v>498</v>
      </c>
      <c r="D42" s="431" t="s">
        <v>595</v>
      </c>
      <c r="E42" s="408"/>
      <c r="F42" s="408"/>
      <c r="G42" s="408"/>
      <c r="H42" s="60"/>
      <c r="I42" s="356">
        <v>17500</v>
      </c>
      <c r="J42" s="183"/>
      <c r="K42" s="171" t="s">
        <v>674</v>
      </c>
      <c r="L42" s="1125">
        <v>70</v>
      </c>
      <c r="M42" s="58">
        <v>25</v>
      </c>
      <c r="N42" s="109">
        <f t="shared" si="21"/>
        <v>0.35714285714285715</v>
      </c>
      <c r="O42" s="1305"/>
      <c r="P42" s="1343"/>
      <c r="Q42" s="165"/>
      <c r="R42" s="257"/>
      <c r="T42" s="466" t="s">
        <v>660</v>
      </c>
      <c r="U42" s="497" t="s">
        <v>675</v>
      </c>
      <c r="W42" s="500" t="s">
        <v>676</v>
      </c>
      <c r="X42" s="501" t="s">
        <v>677</v>
      </c>
      <c r="Y42" s="501" t="s">
        <v>678</v>
      </c>
      <c r="Z42" s="502" t="s">
        <v>412</v>
      </c>
      <c r="AA42" s="503" t="s">
        <v>679</v>
      </c>
      <c r="AB42" s="501" t="s">
        <v>585</v>
      </c>
      <c r="AC42" s="501" t="s">
        <v>680</v>
      </c>
      <c r="AD42" s="501" t="s">
        <v>412</v>
      </c>
      <c r="AE42" s="504" t="s">
        <v>681</v>
      </c>
      <c r="AF42" s="505" t="s">
        <v>585</v>
      </c>
      <c r="AG42" s="498" t="s">
        <v>682</v>
      </c>
      <c r="AH42" s="499" t="s">
        <v>587</v>
      </c>
    </row>
    <row r="43" spans="1:34">
      <c r="A43" s="1348"/>
      <c r="B43" s="65"/>
      <c r="C43" s="81"/>
      <c r="D43" s="120"/>
      <c r="E43" s="67"/>
      <c r="F43" s="67"/>
      <c r="G43" s="67"/>
      <c r="H43" s="66"/>
      <c r="I43" s="359">
        <f t="shared" ref="I43" si="22">SUM(I41:I42)</f>
        <v>43281</v>
      </c>
      <c r="J43" s="139"/>
      <c r="K43" s="111"/>
      <c r="L43" s="440">
        <f>SUM(L41:L42)</f>
        <v>73</v>
      </c>
      <c r="M43" s="443">
        <f>SUM(M41:M42)</f>
        <v>25</v>
      </c>
      <c r="N43" s="444">
        <f>IFERROR(AVERAGE(N41:N42),"")</f>
        <v>0.17857142857142858</v>
      </c>
      <c r="O43" s="1305"/>
      <c r="P43" s="1343"/>
      <c r="Q43" s="352">
        <f>SUM(Q41:Q42)</f>
        <v>0</v>
      </c>
      <c r="R43" s="70">
        <f>SUM(R41:R42)</f>
        <v>0</v>
      </c>
      <c r="T43" s="68"/>
      <c r="U43" s="469"/>
      <c r="W43" s="478"/>
      <c r="X43" s="67"/>
      <c r="Y43" s="67"/>
      <c r="Z43" s="67"/>
      <c r="AA43" s="67"/>
      <c r="AB43" s="67"/>
      <c r="AC43" s="67"/>
      <c r="AD43" s="67"/>
      <c r="AE43" s="67"/>
      <c r="AF43" s="67"/>
      <c r="AG43" s="67"/>
      <c r="AH43" s="467"/>
    </row>
    <row r="44" spans="1:34" ht="31.5" customHeight="1">
      <c r="A44" s="1378" t="s">
        <v>683</v>
      </c>
      <c r="B44" s="167">
        <v>178</v>
      </c>
      <c r="C44" s="180" t="s">
        <v>684</v>
      </c>
      <c r="D44" s="422" t="s">
        <v>78</v>
      </c>
      <c r="E44" s="408"/>
      <c r="F44" s="408"/>
      <c r="G44" s="408"/>
      <c r="H44" s="60"/>
      <c r="I44" s="356">
        <v>7500</v>
      </c>
      <c r="J44" s="182"/>
      <c r="K44" s="171" t="s">
        <v>685</v>
      </c>
      <c r="L44" s="1125">
        <v>1</v>
      </c>
      <c r="M44" s="58">
        <v>0</v>
      </c>
      <c r="N44" s="109">
        <f t="shared" ref="N44:N46" si="23">IF(L44,MIN(1,M44/L44),"")</f>
        <v>0</v>
      </c>
      <c r="O44" s="1305"/>
      <c r="P44" s="1343"/>
      <c r="Q44" s="165"/>
      <c r="R44" s="257"/>
      <c r="T44" s="466" t="s">
        <v>686</v>
      </c>
      <c r="U44" s="497" t="s">
        <v>687</v>
      </c>
      <c r="W44" s="500" t="s">
        <v>665</v>
      </c>
      <c r="X44" s="501" t="s">
        <v>654</v>
      </c>
      <c r="Y44" s="501" t="s">
        <v>667</v>
      </c>
      <c r="Z44" s="502" t="s">
        <v>412</v>
      </c>
      <c r="AA44" s="503" t="s">
        <v>673</v>
      </c>
      <c r="AB44" s="501" t="s">
        <v>412</v>
      </c>
      <c r="AC44" s="501" t="s">
        <v>585</v>
      </c>
      <c r="AD44" s="501" t="s">
        <v>412</v>
      </c>
      <c r="AE44" s="504" t="s">
        <v>412</v>
      </c>
      <c r="AF44" s="505" t="s">
        <v>585</v>
      </c>
      <c r="AG44" s="498" t="s">
        <v>670</v>
      </c>
      <c r="AH44" s="499" t="s">
        <v>587</v>
      </c>
    </row>
    <row r="45" spans="1:34" ht="31.5" customHeight="1">
      <c r="A45" s="1379"/>
      <c r="B45" s="167">
        <f>B44+1</f>
        <v>179</v>
      </c>
      <c r="C45" s="181" t="s">
        <v>688</v>
      </c>
      <c r="D45" s="431" t="s">
        <v>595</v>
      </c>
      <c r="E45" s="408"/>
      <c r="F45" s="408"/>
      <c r="G45" s="408"/>
      <c r="H45" s="60"/>
      <c r="I45" s="356">
        <v>48000</v>
      </c>
      <c r="J45" s="183"/>
      <c r="K45" s="171" t="s">
        <v>689</v>
      </c>
      <c r="L45" s="1125">
        <v>4</v>
      </c>
      <c r="M45" s="58">
        <v>1</v>
      </c>
      <c r="N45" s="109">
        <f t="shared" si="23"/>
        <v>0.25</v>
      </c>
      <c r="O45" s="1305"/>
      <c r="P45" s="1343"/>
      <c r="Q45" s="165"/>
      <c r="R45" s="257"/>
      <c r="T45" s="466" t="s">
        <v>690</v>
      </c>
      <c r="U45" s="497" t="s">
        <v>691</v>
      </c>
      <c r="W45" s="500" t="s">
        <v>665</v>
      </c>
      <c r="X45" s="501" t="s">
        <v>654</v>
      </c>
      <c r="Y45" s="501" t="s">
        <v>667</v>
      </c>
      <c r="Z45" s="502" t="s">
        <v>412</v>
      </c>
      <c r="AA45" s="503" t="s">
        <v>673</v>
      </c>
      <c r="AB45" s="501" t="s">
        <v>412</v>
      </c>
      <c r="AC45" s="501" t="s">
        <v>585</v>
      </c>
      <c r="AD45" s="501" t="s">
        <v>412</v>
      </c>
      <c r="AE45" s="504" t="s">
        <v>412</v>
      </c>
      <c r="AF45" s="505" t="s">
        <v>585</v>
      </c>
      <c r="AG45" s="498" t="s">
        <v>670</v>
      </c>
      <c r="AH45" s="499" t="s">
        <v>587</v>
      </c>
    </row>
    <row r="46" spans="1:34" ht="31.5" customHeight="1">
      <c r="A46" s="1379"/>
      <c r="B46" s="167">
        <f>B45+1</f>
        <v>180</v>
      </c>
      <c r="C46" s="181" t="s">
        <v>692</v>
      </c>
      <c r="D46" s="431" t="s">
        <v>588</v>
      </c>
      <c r="E46" s="408"/>
      <c r="F46" s="408"/>
      <c r="G46" s="408"/>
      <c r="H46" s="408"/>
      <c r="I46" s="356">
        <v>8156</v>
      </c>
      <c r="J46" s="184"/>
      <c r="K46" s="171" t="s">
        <v>539</v>
      </c>
      <c r="L46" s="1125">
        <v>12</v>
      </c>
      <c r="M46" s="58">
        <v>12</v>
      </c>
      <c r="N46" s="109">
        <f t="shared" si="23"/>
        <v>1</v>
      </c>
      <c r="O46" s="1346"/>
      <c r="P46" s="1344"/>
      <c r="Q46" s="165"/>
      <c r="R46" s="257"/>
      <c r="T46" s="466" t="s">
        <v>693</v>
      </c>
      <c r="U46" s="497" t="s">
        <v>694</v>
      </c>
      <c r="W46" s="500" t="s">
        <v>412</v>
      </c>
      <c r="X46" s="501" t="s">
        <v>412</v>
      </c>
      <c r="Y46" s="501" t="s">
        <v>412</v>
      </c>
      <c r="Z46" s="502" t="s">
        <v>412</v>
      </c>
      <c r="AA46" s="503" t="s">
        <v>412</v>
      </c>
      <c r="AB46" s="501" t="s">
        <v>412</v>
      </c>
      <c r="AC46" s="501" t="s">
        <v>412</v>
      </c>
      <c r="AD46" s="501" t="s">
        <v>412</v>
      </c>
      <c r="AE46" s="504" t="s">
        <v>412</v>
      </c>
      <c r="AF46" s="505" t="s">
        <v>585</v>
      </c>
      <c r="AG46" s="498" t="s">
        <v>682</v>
      </c>
      <c r="AH46" s="499" t="s">
        <v>587</v>
      </c>
    </row>
    <row r="47" spans="1:34">
      <c r="A47" s="1379"/>
      <c r="B47" s="65"/>
      <c r="C47" s="81"/>
      <c r="D47" s="120"/>
      <c r="E47" s="67"/>
      <c r="F47" s="67"/>
      <c r="G47" s="67"/>
      <c r="H47" s="66"/>
      <c r="I47" s="359">
        <f t="shared" ref="I47" si="24">SUM(I44:I46)</f>
        <v>63656</v>
      </c>
      <c r="J47" s="139"/>
      <c r="K47" s="111"/>
      <c r="L47" s="440">
        <f>SUM(L44:L46)</f>
        <v>17</v>
      </c>
      <c r="M47" s="443">
        <f>SUM(M44:M46)</f>
        <v>13</v>
      </c>
      <c r="N47" s="444">
        <f>IFERROR(AVERAGE(N44:N46),"")</f>
        <v>0.41666666666666669</v>
      </c>
      <c r="O47" s="379">
        <f>IFERROR(AVERAGE(N37:N39,N41:N42,N44:N46),"")</f>
        <v>0.45089285714285715</v>
      </c>
      <c r="P47" s="379">
        <f>IFERROR(AVERAGE(N32:N34,N37:N39,N41:N42,N44:N46),"")</f>
        <v>0.49338624338624343</v>
      </c>
      <c r="Q47" s="352">
        <f>SUM(Q44:Q46)</f>
        <v>0</v>
      </c>
      <c r="R47" s="70">
        <f>SUM(R44:R46)</f>
        <v>0</v>
      </c>
      <c r="T47" s="68"/>
      <c r="U47" s="469"/>
      <c r="W47" s="478"/>
      <c r="X47" s="67"/>
      <c r="Y47" s="67"/>
      <c r="Z47" s="67"/>
      <c r="AA47" s="67"/>
      <c r="AB47" s="67"/>
      <c r="AC47" s="67"/>
      <c r="AD47" s="67"/>
      <c r="AE47" s="67"/>
      <c r="AF47" s="67"/>
      <c r="AG47" s="67"/>
      <c r="AH47" s="467"/>
    </row>
    <row r="48" spans="1:34" ht="121.5" customHeight="1">
      <c r="A48" s="339" t="s">
        <v>296</v>
      </c>
      <c r="B48" s="340"/>
      <c r="C48" s="340"/>
      <c r="D48" s="340"/>
      <c r="E48" s="340"/>
      <c r="F48" s="340"/>
      <c r="G48" s="340"/>
      <c r="H48" s="341"/>
      <c r="I48" s="387">
        <f>I49+I72+I89</f>
        <v>1701837</v>
      </c>
      <c r="J48" s="342"/>
      <c r="K48" s="343"/>
      <c r="L48" s="344"/>
      <c r="M48" s="345"/>
      <c r="N48" s="346"/>
      <c r="O48" s="346"/>
      <c r="P48" s="347"/>
      <c r="Q48" s="350">
        <f t="shared" ref="Q48:R48" si="25">Q49+Q72+Q89</f>
        <v>0</v>
      </c>
      <c r="R48" s="348">
        <f t="shared" si="25"/>
        <v>0</v>
      </c>
      <c r="T48" s="470" t="s">
        <v>695</v>
      </c>
      <c r="U48" s="471"/>
      <c r="W48" s="474" t="s">
        <v>296</v>
      </c>
      <c r="X48" s="475"/>
      <c r="Y48" s="475"/>
      <c r="Z48" s="475"/>
      <c r="AA48" s="475"/>
      <c r="AB48" s="475"/>
      <c r="AC48" s="475"/>
      <c r="AD48" s="475"/>
      <c r="AE48" s="475"/>
      <c r="AF48" s="475"/>
      <c r="AG48" s="475"/>
      <c r="AH48" s="476"/>
    </row>
    <row r="49" spans="1:34" ht="30.75" customHeight="1">
      <c r="A49" s="360" t="s">
        <v>297</v>
      </c>
      <c r="B49" s="361"/>
      <c r="C49" s="361"/>
      <c r="D49" s="362"/>
      <c r="E49" s="363" t="s">
        <v>248</v>
      </c>
      <c r="F49" s="364" t="s">
        <v>249</v>
      </c>
      <c r="G49" s="364" t="s">
        <v>250</v>
      </c>
      <c r="H49" s="365" t="s">
        <v>251</v>
      </c>
      <c r="I49" s="389">
        <f t="shared" ref="I49" si="26">I56+I63+I71</f>
        <v>1334759.25</v>
      </c>
      <c r="J49" s="366"/>
      <c r="K49" s="367"/>
      <c r="L49" s="368"/>
      <c r="M49" s="369"/>
      <c r="N49" s="370"/>
      <c r="O49" s="371"/>
      <c r="P49" s="372"/>
      <c r="Q49" s="373">
        <f t="shared" ref="Q49:R49" si="27">Q56+Q63+Q71</f>
        <v>0</v>
      </c>
      <c r="R49" s="374">
        <f t="shared" si="27"/>
        <v>0</v>
      </c>
      <c r="T49" s="464" t="s">
        <v>297</v>
      </c>
      <c r="U49" s="465"/>
      <c r="W49" s="464" t="s">
        <v>297</v>
      </c>
      <c r="X49" s="458"/>
      <c r="Y49" s="458"/>
      <c r="Z49" s="458"/>
      <c r="AA49" s="458"/>
      <c r="AB49" s="458"/>
      <c r="AC49" s="458"/>
      <c r="AD49" s="458"/>
      <c r="AE49" s="458"/>
      <c r="AF49" s="458"/>
      <c r="AG49" s="458"/>
      <c r="AH49" s="465"/>
    </row>
    <row r="50" spans="1:34" ht="31.5" customHeight="1">
      <c r="A50" s="1301" t="s">
        <v>298</v>
      </c>
      <c r="B50" s="167">
        <f>B46+1</f>
        <v>181</v>
      </c>
      <c r="C50" s="169" t="s">
        <v>299</v>
      </c>
      <c r="D50" s="176" t="s">
        <v>588</v>
      </c>
      <c r="E50" s="408"/>
      <c r="F50" s="408"/>
      <c r="G50" s="408"/>
      <c r="H50" s="60"/>
      <c r="I50" s="356">
        <v>5000</v>
      </c>
      <c r="J50" s="182"/>
      <c r="K50" s="179" t="s">
        <v>696</v>
      </c>
      <c r="L50" s="175">
        <v>1</v>
      </c>
      <c r="M50" s="58">
        <v>0</v>
      </c>
      <c r="N50" s="109">
        <f t="shared" ref="N50:N55" si="28">IF(L50,MIN(1,M50/L50),"")</f>
        <v>0</v>
      </c>
      <c r="O50" s="1336"/>
      <c r="P50" s="1304"/>
      <c r="Q50" s="165"/>
      <c r="R50" s="260"/>
      <c r="T50" s="466" t="s">
        <v>697</v>
      </c>
      <c r="U50" s="497" t="s">
        <v>698</v>
      </c>
      <c r="W50" s="500" t="s">
        <v>665</v>
      </c>
      <c r="X50" s="501" t="s">
        <v>654</v>
      </c>
      <c r="Y50" s="501" t="s">
        <v>667</v>
      </c>
      <c r="Z50" s="502" t="s">
        <v>412</v>
      </c>
      <c r="AA50" s="503" t="s">
        <v>673</v>
      </c>
      <c r="AB50" s="501" t="s">
        <v>412</v>
      </c>
      <c r="AC50" s="501" t="s">
        <v>585</v>
      </c>
      <c r="AD50" s="501" t="s">
        <v>412</v>
      </c>
      <c r="AE50" s="504" t="s">
        <v>412</v>
      </c>
      <c r="AF50" s="505" t="s">
        <v>585</v>
      </c>
      <c r="AG50" s="498" t="s">
        <v>670</v>
      </c>
      <c r="AH50" s="499" t="s">
        <v>587</v>
      </c>
    </row>
    <row r="51" spans="1:34" ht="36.75" customHeight="1">
      <c r="A51" s="1322"/>
      <c r="B51" s="167">
        <f>B50+1</f>
        <v>182</v>
      </c>
      <c r="C51" s="170" t="s">
        <v>300</v>
      </c>
      <c r="D51" s="177" t="s">
        <v>595</v>
      </c>
      <c r="E51" s="408"/>
      <c r="F51" s="408"/>
      <c r="G51" s="408"/>
      <c r="H51" s="60"/>
      <c r="I51" s="356">
        <v>11250</v>
      </c>
      <c r="J51" s="183"/>
      <c r="K51" s="171" t="s">
        <v>699</v>
      </c>
      <c r="L51" s="172">
        <v>2</v>
      </c>
      <c r="M51" s="58">
        <v>0</v>
      </c>
      <c r="N51" s="109">
        <f t="shared" si="28"/>
        <v>0</v>
      </c>
      <c r="O51" s="1337"/>
      <c r="P51" s="1305"/>
      <c r="Q51" s="165"/>
      <c r="R51" s="257"/>
      <c r="T51" s="466" t="s">
        <v>700</v>
      </c>
      <c r="U51" s="497" t="s">
        <v>701</v>
      </c>
      <c r="W51" s="500" t="s">
        <v>412</v>
      </c>
      <c r="X51" s="501" t="s">
        <v>412</v>
      </c>
      <c r="Y51" s="501" t="s">
        <v>412</v>
      </c>
      <c r="Z51" s="502" t="s">
        <v>412</v>
      </c>
      <c r="AA51" s="503" t="s">
        <v>412</v>
      </c>
      <c r="AB51" s="501" t="s">
        <v>412</v>
      </c>
      <c r="AC51" s="501" t="s">
        <v>412</v>
      </c>
      <c r="AD51" s="501" t="s">
        <v>412</v>
      </c>
      <c r="AE51" s="504" t="s">
        <v>412</v>
      </c>
      <c r="AF51" s="505" t="s">
        <v>585</v>
      </c>
      <c r="AG51" s="498" t="s">
        <v>702</v>
      </c>
      <c r="AH51" s="499" t="s">
        <v>587</v>
      </c>
    </row>
    <row r="52" spans="1:34" ht="31.5" customHeight="1">
      <c r="A52" s="1322"/>
      <c r="B52" s="167">
        <f>B51+1</f>
        <v>183</v>
      </c>
      <c r="C52" s="170" t="s">
        <v>301</v>
      </c>
      <c r="D52" s="177" t="s">
        <v>588</v>
      </c>
      <c r="E52" s="408"/>
      <c r="F52" s="408"/>
      <c r="G52" s="61"/>
      <c r="H52" s="60"/>
      <c r="I52" s="356">
        <v>7813</v>
      </c>
      <c r="J52" s="183"/>
      <c r="K52" s="171" t="s">
        <v>505</v>
      </c>
      <c r="L52" s="172">
        <v>1</v>
      </c>
      <c r="M52" s="58">
        <v>0</v>
      </c>
      <c r="N52" s="109">
        <f t="shared" si="28"/>
        <v>0</v>
      </c>
      <c r="O52" s="1337"/>
      <c r="P52" s="1305"/>
      <c r="Q52" s="165"/>
      <c r="R52" s="257"/>
      <c r="T52" s="466" t="s">
        <v>703</v>
      </c>
      <c r="U52" s="497" t="s">
        <v>704</v>
      </c>
      <c r="W52" s="500"/>
      <c r="X52" s="501"/>
      <c r="Y52" s="501"/>
      <c r="Z52" s="502"/>
      <c r="AA52" s="503"/>
      <c r="AB52" s="501"/>
      <c r="AC52" s="501"/>
      <c r="AD52" s="501"/>
      <c r="AE52" s="504"/>
      <c r="AF52" s="505"/>
      <c r="AG52" s="498"/>
      <c r="AH52" s="499"/>
    </row>
    <row r="53" spans="1:34" ht="31.5" customHeight="1">
      <c r="A53" s="1322"/>
      <c r="B53" s="167"/>
      <c r="C53" s="170" t="s">
        <v>302</v>
      </c>
      <c r="D53" s="177" t="s">
        <v>588</v>
      </c>
      <c r="E53" s="55"/>
      <c r="F53" s="61"/>
      <c r="G53" s="61"/>
      <c r="H53" s="60"/>
      <c r="I53" s="356"/>
      <c r="J53" s="183"/>
      <c r="K53" s="171"/>
      <c r="L53" s="172"/>
      <c r="M53" s="58"/>
      <c r="N53" s="109" t="str">
        <f t="shared" si="28"/>
        <v/>
      </c>
      <c r="O53" s="1337"/>
      <c r="P53" s="1305"/>
      <c r="Q53" s="165"/>
      <c r="R53" s="257"/>
      <c r="T53" s="466" t="s">
        <v>705</v>
      </c>
      <c r="U53" s="497"/>
      <c r="W53" s="500"/>
      <c r="X53" s="501"/>
      <c r="Y53" s="501"/>
      <c r="Z53" s="502"/>
      <c r="AA53" s="503"/>
      <c r="AB53" s="501"/>
      <c r="AC53" s="501"/>
      <c r="AD53" s="501"/>
      <c r="AE53" s="504"/>
      <c r="AF53" s="505"/>
      <c r="AG53" s="498"/>
      <c r="AH53" s="499"/>
    </row>
    <row r="54" spans="1:34" ht="36.75" customHeight="1">
      <c r="A54" s="1322"/>
      <c r="B54" s="167">
        <v>184</v>
      </c>
      <c r="C54" s="170" t="s">
        <v>303</v>
      </c>
      <c r="D54" s="177" t="s">
        <v>588</v>
      </c>
      <c r="E54" s="61"/>
      <c r="F54" s="408"/>
      <c r="G54" s="408"/>
      <c r="H54" s="408"/>
      <c r="I54" s="356">
        <v>16250</v>
      </c>
      <c r="J54" s="183"/>
      <c r="K54" s="171" t="s">
        <v>706</v>
      </c>
      <c r="L54" s="172">
        <v>8</v>
      </c>
      <c r="M54" s="58">
        <v>7</v>
      </c>
      <c r="N54" s="109">
        <f t="shared" si="28"/>
        <v>0.875</v>
      </c>
      <c r="O54" s="1337"/>
      <c r="P54" s="1305"/>
      <c r="Q54" s="165"/>
      <c r="R54" s="257"/>
      <c r="T54" s="466" t="s">
        <v>707</v>
      </c>
      <c r="U54" s="497" t="s">
        <v>708</v>
      </c>
      <c r="W54" s="500" t="s">
        <v>585</v>
      </c>
      <c r="X54" s="501" t="s">
        <v>412</v>
      </c>
      <c r="Y54" s="501" t="s">
        <v>585</v>
      </c>
      <c r="Z54" s="502" t="s">
        <v>412</v>
      </c>
      <c r="AA54" s="503" t="s">
        <v>709</v>
      </c>
      <c r="AB54" s="501" t="s">
        <v>585</v>
      </c>
      <c r="AC54" s="501" t="s">
        <v>710</v>
      </c>
      <c r="AD54" s="501" t="s">
        <v>585</v>
      </c>
      <c r="AE54" s="504" t="s">
        <v>711</v>
      </c>
      <c r="AF54" s="505" t="s">
        <v>585</v>
      </c>
      <c r="AG54" s="498" t="s">
        <v>712</v>
      </c>
      <c r="AH54" s="499" t="s">
        <v>587</v>
      </c>
    </row>
    <row r="55" spans="1:34" ht="31.5" customHeight="1">
      <c r="A55" s="1322"/>
      <c r="B55" s="167">
        <f t="shared" ref="B55" si="29">B54+1</f>
        <v>185</v>
      </c>
      <c r="C55" s="170" t="s">
        <v>304</v>
      </c>
      <c r="D55" s="178" t="s">
        <v>588</v>
      </c>
      <c r="E55" s="61"/>
      <c r="F55" s="408"/>
      <c r="G55" s="408"/>
      <c r="H55" s="408"/>
      <c r="I55" s="356">
        <v>82031.25</v>
      </c>
      <c r="J55" s="184"/>
      <c r="K55" s="110" t="s">
        <v>713</v>
      </c>
      <c r="L55" s="172">
        <v>3</v>
      </c>
      <c r="M55" s="58">
        <v>4</v>
      </c>
      <c r="N55" s="109">
        <f t="shared" si="28"/>
        <v>1</v>
      </c>
      <c r="O55" s="1337"/>
      <c r="P55" s="1305"/>
      <c r="Q55" s="165"/>
      <c r="R55" s="257"/>
      <c r="T55" s="466" t="s">
        <v>714</v>
      </c>
      <c r="U55" s="497" t="s">
        <v>715</v>
      </c>
      <c r="W55" s="500" t="s">
        <v>716</v>
      </c>
      <c r="X55" s="501" t="s">
        <v>412</v>
      </c>
      <c r="Y55" s="501" t="s">
        <v>585</v>
      </c>
      <c r="Z55" s="502" t="s">
        <v>585</v>
      </c>
      <c r="AA55" s="503" t="s">
        <v>717</v>
      </c>
      <c r="AB55" s="501" t="s">
        <v>585</v>
      </c>
      <c r="AC55" s="501" t="s">
        <v>585</v>
      </c>
      <c r="AD55" s="501" t="s">
        <v>412</v>
      </c>
      <c r="AE55" s="504" t="s">
        <v>711</v>
      </c>
      <c r="AF55" s="505" t="s">
        <v>585</v>
      </c>
      <c r="AG55" s="498" t="s">
        <v>718</v>
      </c>
      <c r="AH55" s="499" t="s">
        <v>587</v>
      </c>
    </row>
    <row r="56" spans="1:34">
      <c r="A56" s="1323"/>
      <c r="B56" s="65"/>
      <c r="C56" s="81"/>
      <c r="D56" s="120"/>
      <c r="E56" s="67"/>
      <c r="F56" s="67"/>
      <c r="G56" s="67"/>
      <c r="H56" s="66"/>
      <c r="I56" s="359">
        <f>SUM(I50:I55)</f>
        <v>122344.25</v>
      </c>
      <c r="J56" s="139"/>
      <c r="K56" s="442"/>
      <c r="L56" s="440">
        <f>SUM(L50:L55)</f>
        <v>15</v>
      </c>
      <c r="M56" s="443">
        <f>SUM(M50:M55)</f>
        <v>11</v>
      </c>
      <c r="N56" s="444">
        <f>IFERROR(AVERAGE(N50:N55),"")</f>
        <v>0.375</v>
      </c>
      <c r="O56" s="1337"/>
      <c r="P56" s="1305"/>
      <c r="Q56" s="352">
        <f>SUM(Q50:Q55)</f>
        <v>0</v>
      </c>
      <c r="R56" s="70">
        <f>SUM(R50:R55)</f>
        <v>0</v>
      </c>
      <c r="T56" s="68"/>
      <c r="U56" s="469"/>
      <c r="W56" s="478"/>
      <c r="X56" s="67"/>
      <c r="Y56" s="67"/>
      <c r="Z56" s="67"/>
      <c r="AA56" s="67"/>
      <c r="AB56" s="67"/>
      <c r="AC56" s="67"/>
      <c r="AD56" s="67"/>
      <c r="AE56" s="67"/>
      <c r="AF56" s="67"/>
      <c r="AG56" s="67"/>
      <c r="AH56" s="467"/>
    </row>
    <row r="57" spans="1:34" ht="45.75" customHeight="1">
      <c r="A57" s="1356" t="s">
        <v>305</v>
      </c>
      <c r="B57" s="167">
        <f>B55+1</f>
        <v>186</v>
      </c>
      <c r="C57" s="170" t="s">
        <v>306</v>
      </c>
      <c r="D57" s="176" t="s">
        <v>595</v>
      </c>
      <c r="E57" s="408"/>
      <c r="F57" s="408"/>
      <c r="G57" s="408"/>
      <c r="H57" s="60"/>
      <c r="I57" s="356">
        <v>12500</v>
      </c>
      <c r="J57" s="182"/>
      <c r="K57" s="171" t="s">
        <v>719</v>
      </c>
      <c r="L57" s="172">
        <v>8</v>
      </c>
      <c r="M57" s="58">
        <v>6</v>
      </c>
      <c r="N57" s="109">
        <f>IF(L57,MIN(1,M57/L57),"")</f>
        <v>0.75</v>
      </c>
      <c r="O57" s="1337"/>
      <c r="P57" s="1305"/>
      <c r="Q57" s="165"/>
      <c r="R57" s="257"/>
      <c r="T57" s="466" t="s">
        <v>720</v>
      </c>
      <c r="U57" s="497" t="s">
        <v>721</v>
      </c>
      <c r="W57" s="500" t="s">
        <v>412</v>
      </c>
      <c r="X57" s="501" t="s">
        <v>412</v>
      </c>
      <c r="Y57" s="501" t="s">
        <v>412</v>
      </c>
      <c r="Z57" s="502" t="s">
        <v>412</v>
      </c>
      <c r="AA57" s="503" t="s">
        <v>412</v>
      </c>
      <c r="AB57" s="501" t="s">
        <v>412</v>
      </c>
      <c r="AC57" s="501" t="s">
        <v>412</v>
      </c>
      <c r="AD57" s="501" t="s">
        <v>412</v>
      </c>
      <c r="AE57" s="504" t="s">
        <v>711</v>
      </c>
      <c r="AF57" s="505" t="s">
        <v>585</v>
      </c>
      <c r="AG57" s="498" t="s">
        <v>649</v>
      </c>
      <c r="AH57" s="499" t="s">
        <v>587</v>
      </c>
    </row>
    <row r="58" spans="1:34" ht="31.5" customHeight="1">
      <c r="A58" s="1357"/>
      <c r="B58" s="167">
        <f>B57+1</f>
        <v>187</v>
      </c>
      <c r="C58" s="170" t="s">
        <v>307</v>
      </c>
      <c r="D58" s="177" t="s">
        <v>78</v>
      </c>
      <c r="E58" s="408"/>
      <c r="F58" s="408"/>
      <c r="G58" s="408"/>
      <c r="H58" s="408"/>
      <c r="I58" s="356">
        <v>7500</v>
      </c>
      <c r="J58" s="183"/>
      <c r="K58" s="110" t="s">
        <v>722</v>
      </c>
      <c r="L58" s="172">
        <v>2</v>
      </c>
      <c r="M58" s="58">
        <v>2</v>
      </c>
      <c r="N58" s="109">
        <f t="shared" ref="N58:N59" si="30">IF(L58,MIN(1,M58/L58),"")</f>
        <v>1</v>
      </c>
      <c r="O58" s="1337"/>
      <c r="P58" s="1305"/>
      <c r="Q58" s="165"/>
      <c r="R58" s="257"/>
      <c r="T58" s="466" t="s">
        <v>723</v>
      </c>
      <c r="U58" s="497" t="s">
        <v>724</v>
      </c>
      <c r="W58" s="500" t="s">
        <v>412</v>
      </c>
      <c r="X58" s="501" t="s">
        <v>412</v>
      </c>
      <c r="Y58" s="501" t="s">
        <v>412</v>
      </c>
      <c r="Z58" s="502" t="s">
        <v>412</v>
      </c>
      <c r="AA58" s="503" t="s">
        <v>412</v>
      </c>
      <c r="AB58" s="501" t="s">
        <v>412</v>
      </c>
      <c r="AC58" s="501" t="s">
        <v>725</v>
      </c>
      <c r="AD58" s="501" t="s">
        <v>412</v>
      </c>
      <c r="AE58" s="504" t="s">
        <v>412</v>
      </c>
      <c r="AF58" s="505" t="s">
        <v>585</v>
      </c>
      <c r="AG58" s="498" t="s">
        <v>649</v>
      </c>
      <c r="AH58" s="499" t="s">
        <v>587</v>
      </c>
    </row>
    <row r="59" spans="1:34" ht="31.5" customHeight="1">
      <c r="A59" s="1357"/>
      <c r="B59" s="167">
        <f>B58+1</f>
        <v>188</v>
      </c>
      <c r="C59" s="170" t="s">
        <v>308</v>
      </c>
      <c r="D59" s="177" t="s">
        <v>595</v>
      </c>
      <c r="E59" s="61"/>
      <c r="F59" s="61"/>
      <c r="G59" s="408"/>
      <c r="H59" s="408"/>
      <c r="I59" s="356">
        <v>1000</v>
      </c>
      <c r="J59" s="183"/>
      <c r="K59" s="110" t="s">
        <v>726</v>
      </c>
      <c r="L59" s="172">
        <v>2</v>
      </c>
      <c r="M59" s="58">
        <v>2</v>
      </c>
      <c r="N59" s="109">
        <f t="shared" si="30"/>
        <v>1</v>
      </c>
      <c r="O59" s="1337"/>
      <c r="P59" s="1305"/>
      <c r="Q59" s="165"/>
      <c r="R59" s="257"/>
      <c r="T59" s="466" t="s">
        <v>727</v>
      </c>
      <c r="U59" s="497" t="s">
        <v>728</v>
      </c>
      <c r="W59" s="500" t="s">
        <v>412</v>
      </c>
      <c r="X59" s="501" t="s">
        <v>412</v>
      </c>
      <c r="Y59" s="501" t="s">
        <v>412</v>
      </c>
      <c r="Z59" s="502" t="s">
        <v>412</v>
      </c>
      <c r="AA59" s="503" t="s">
        <v>412</v>
      </c>
      <c r="AB59" s="501" t="s">
        <v>412</v>
      </c>
      <c r="AC59" s="501" t="s">
        <v>412</v>
      </c>
      <c r="AD59" s="501" t="s">
        <v>412</v>
      </c>
      <c r="AE59" s="504" t="s">
        <v>412</v>
      </c>
      <c r="AF59" s="505" t="s">
        <v>585</v>
      </c>
      <c r="AG59" s="498" t="s">
        <v>649</v>
      </c>
      <c r="AH59" s="499" t="s">
        <v>587</v>
      </c>
    </row>
    <row r="60" spans="1:34" ht="31.5" customHeight="1">
      <c r="A60" s="1357"/>
      <c r="B60" s="167">
        <f>B55+1</f>
        <v>186</v>
      </c>
      <c r="C60" s="170" t="s">
        <v>309</v>
      </c>
      <c r="D60" s="177" t="s">
        <v>595</v>
      </c>
      <c r="E60" s="408"/>
      <c r="F60" s="408"/>
      <c r="G60" s="61"/>
      <c r="H60" s="60"/>
      <c r="I60" s="356">
        <v>4688</v>
      </c>
      <c r="J60" s="183"/>
      <c r="K60" s="171" t="s">
        <v>729</v>
      </c>
      <c r="L60" s="172">
        <v>30</v>
      </c>
      <c r="M60" s="58">
        <v>19</v>
      </c>
      <c r="N60" s="109">
        <f>IF(L60,MIN(1,M60/L60),"")</f>
        <v>0.6333333333333333</v>
      </c>
      <c r="O60" s="1337"/>
      <c r="P60" s="1305"/>
      <c r="Q60" s="165"/>
      <c r="R60" s="257"/>
      <c r="T60" s="466" t="s">
        <v>730</v>
      </c>
      <c r="U60" s="497" t="s">
        <v>731</v>
      </c>
      <c r="W60" s="500" t="s">
        <v>412</v>
      </c>
      <c r="X60" s="501" t="s">
        <v>412</v>
      </c>
      <c r="Y60" s="501" t="s">
        <v>412</v>
      </c>
      <c r="Z60" s="502" t="s">
        <v>412</v>
      </c>
      <c r="AA60" s="503" t="s">
        <v>412</v>
      </c>
      <c r="AB60" s="501" t="s">
        <v>412</v>
      </c>
      <c r="AC60" s="501" t="s">
        <v>412</v>
      </c>
      <c r="AD60" s="501" t="s">
        <v>412</v>
      </c>
      <c r="AE60" s="504" t="s">
        <v>412</v>
      </c>
      <c r="AF60" s="505" t="s">
        <v>585</v>
      </c>
      <c r="AG60" s="498" t="s">
        <v>649</v>
      </c>
      <c r="AH60" s="499" t="s">
        <v>587</v>
      </c>
    </row>
    <row r="61" spans="1:34" ht="31.5" customHeight="1">
      <c r="A61" s="1357"/>
      <c r="B61" s="167">
        <f>B60+1</f>
        <v>187</v>
      </c>
      <c r="C61" s="170" t="s">
        <v>310</v>
      </c>
      <c r="D61" s="177" t="s">
        <v>588</v>
      </c>
      <c r="E61" s="61"/>
      <c r="F61" s="408"/>
      <c r="G61" s="408"/>
      <c r="H61" s="408"/>
      <c r="I61" s="356">
        <v>132813</v>
      </c>
      <c r="J61" s="183"/>
      <c r="K61" s="110" t="s">
        <v>732</v>
      </c>
      <c r="L61" s="172">
        <v>85</v>
      </c>
      <c r="M61" s="58">
        <v>0</v>
      </c>
      <c r="N61" s="109">
        <f t="shared" ref="N61:N62" si="31">IF(L61,MIN(1,M61/L61),"")</f>
        <v>0</v>
      </c>
      <c r="O61" s="1337"/>
      <c r="P61" s="1305"/>
      <c r="Q61" s="165"/>
      <c r="R61" s="257"/>
      <c r="T61" s="466" t="s">
        <v>733</v>
      </c>
      <c r="U61" s="497" t="s">
        <v>734</v>
      </c>
      <c r="W61" s="500" t="s">
        <v>585</v>
      </c>
      <c r="X61" s="501" t="s">
        <v>412</v>
      </c>
      <c r="Y61" s="501" t="s">
        <v>585</v>
      </c>
      <c r="Z61" s="502" t="s">
        <v>585</v>
      </c>
      <c r="AA61" s="503" t="s">
        <v>735</v>
      </c>
      <c r="AB61" s="501" t="s">
        <v>585</v>
      </c>
      <c r="AC61" s="501" t="s">
        <v>736</v>
      </c>
      <c r="AD61" s="501" t="s">
        <v>412</v>
      </c>
      <c r="AE61" s="504" t="s">
        <v>412</v>
      </c>
      <c r="AF61" s="505" t="s">
        <v>585</v>
      </c>
      <c r="AG61" s="498" t="s">
        <v>649</v>
      </c>
      <c r="AH61" s="499" t="s">
        <v>587</v>
      </c>
    </row>
    <row r="62" spans="1:34" ht="31.5" customHeight="1">
      <c r="A62" s="1357"/>
      <c r="B62" s="167">
        <f>B61+1</f>
        <v>188</v>
      </c>
      <c r="C62" s="170" t="s">
        <v>311</v>
      </c>
      <c r="D62" s="178" t="s">
        <v>595</v>
      </c>
      <c r="E62" s="408"/>
      <c r="F62" s="408"/>
      <c r="G62" s="61"/>
      <c r="H62" s="60"/>
      <c r="I62" s="356">
        <v>3125</v>
      </c>
      <c r="J62" s="184"/>
      <c r="K62" s="110" t="s">
        <v>737</v>
      </c>
      <c r="L62" s="172">
        <v>10</v>
      </c>
      <c r="M62" s="58">
        <v>0</v>
      </c>
      <c r="N62" s="109">
        <f t="shared" si="31"/>
        <v>0</v>
      </c>
      <c r="O62" s="1337"/>
      <c r="P62" s="1305"/>
      <c r="Q62" s="165"/>
      <c r="R62" s="257"/>
      <c r="T62" s="466" t="s">
        <v>738</v>
      </c>
      <c r="U62" s="497" t="s">
        <v>739</v>
      </c>
      <c r="W62" s="500" t="s">
        <v>412</v>
      </c>
      <c r="X62" s="501" t="s">
        <v>412</v>
      </c>
      <c r="Y62" s="501" t="s">
        <v>585</v>
      </c>
      <c r="Z62" s="502" t="s">
        <v>585</v>
      </c>
      <c r="AA62" s="503" t="s">
        <v>735</v>
      </c>
      <c r="AB62" s="501" t="s">
        <v>412</v>
      </c>
      <c r="AC62" s="501" t="s">
        <v>412</v>
      </c>
      <c r="AD62" s="501" t="s">
        <v>412</v>
      </c>
      <c r="AE62" s="504" t="s">
        <v>412</v>
      </c>
      <c r="AF62" s="505" t="s">
        <v>585</v>
      </c>
      <c r="AG62" s="498" t="s">
        <v>740</v>
      </c>
      <c r="AH62" s="499" t="s">
        <v>587</v>
      </c>
    </row>
    <row r="63" spans="1:34">
      <c r="A63" s="1358"/>
      <c r="B63" s="65"/>
      <c r="C63" s="81"/>
      <c r="D63" s="120"/>
      <c r="E63" s="67"/>
      <c r="F63" s="67"/>
      <c r="G63" s="67"/>
      <c r="H63" s="66"/>
      <c r="I63" s="359">
        <f t="shared" ref="I63" si="32">SUM(I57:I62)</f>
        <v>161626</v>
      </c>
      <c r="J63" s="139"/>
      <c r="K63" s="111"/>
      <c r="L63" s="440">
        <f>SUM(L57:L62)</f>
        <v>137</v>
      </c>
      <c r="M63" s="443">
        <f>SUM(M57:M62)</f>
        <v>29</v>
      </c>
      <c r="N63" s="444">
        <f>IFERROR(AVERAGE(N57:N62),"")</f>
        <v>0.56388888888888888</v>
      </c>
      <c r="O63" s="1337"/>
      <c r="P63" s="1305"/>
      <c r="Q63" s="352">
        <f>SUM(Q57:Q62)</f>
        <v>0</v>
      </c>
      <c r="R63" s="70">
        <f>SUM(R57:R62)</f>
        <v>0</v>
      </c>
      <c r="T63" s="68"/>
      <c r="U63" s="469"/>
      <c r="W63" s="478"/>
      <c r="X63" s="67"/>
      <c r="Y63" s="67"/>
      <c r="Z63" s="67"/>
      <c r="AA63" s="67"/>
      <c r="AB63" s="67"/>
      <c r="AC63" s="67"/>
      <c r="AD63" s="67"/>
      <c r="AE63" s="67"/>
      <c r="AF63" s="67"/>
      <c r="AG63" s="67"/>
      <c r="AH63" s="467"/>
    </row>
    <row r="64" spans="1:34" ht="31.5" customHeight="1">
      <c r="A64" s="1356" t="s">
        <v>312</v>
      </c>
      <c r="B64" s="167">
        <f>B59+1</f>
        <v>189</v>
      </c>
      <c r="C64" s="170" t="s">
        <v>313</v>
      </c>
      <c r="D64" s="176" t="s">
        <v>595</v>
      </c>
      <c r="E64" s="408"/>
      <c r="F64" s="408"/>
      <c r="G64" s="408"/>
      <c r="H64" s="60"/>
      <c r="I64" s="356">
        <v>93750</v>
      </c>
      <c r="J64" s="182"/>
      <c r="K64" s="171" t="s">
        <v>505</v>
      </c>
      <c r="L64" s="172">
        <v>4</v>
      </c>
      <c r="M64" s="58">
        <v>0</v>
      </c>
      <c r="N64" s="109">
        <f>IF(L64,MIN(1,M64/L64),"")</f>
        <v>0</v>
      </c>
      <c r="O64" s="1337"/>
      <c r="P64" s="1305"/>
      <c r="Q64" s="165"/>
      <c r="R64" s="257"/>
      <c r="T64" s="466" t="s">
        <v>741</v>
      </c>
      <c r="U64" s="497" t="s">
        <v>742</v>
      </c>
      <c r="W64" s="500" t="s">
        <v>585</v>
      </c>
      <c r="X64" s="501" t="s">
        <v>585</v>
      </c>
      <c r="Y64" s="501" t="s">
        <v>585</v>
      </c>
      <c r="Z64" s="502" t="s">
        <v>585</v>
      </c>
      <c r="AA64" s="503" t="s">
        <v>735</v>
      </c>
      <c r="AB64" s="501" t="s">
        <v>743</v>
      </c>
      <c r="AC64" s="501" t="s">
        <v>744</v>
      </c>
      <c r="AD64" s="501" t="s">
        <v>412</v>
      </c>
      <c r="AE64" s="504" t="s">
        <v>745</v>
      </c>
      <c r="AF64" s="505" t="s">
        <v>746</v>
      </c>
      <c r="AG64" s="498" t="s">
        <v>649</v>
      </c>
      <c r="AH64" s="499" t="s">
        <v>587</v>
      </c>
    </row>
    <row r="65" spans="1:34" ht="31.5" customHeight="1">
      <c r="A65" s="1357"/>
      <c r="B65" s="167">
        <f>B64+1</f>
        <v>190</v>
      </c>
      <c r="C65" s="170" t="s">
        <v>314</v>
      </c>
      <c r="D65" s="177" t="s">
        <v>595</v>
      </c>
      <c r="E65" s="408"/>
      <c r="F65" s="408"/>
      <c r="G65" s="408"/>
      <c r="H65" s="60"/>
      <c r="I65" s="356">
        <v>165632</v>
      </c>
      <c r="J65" s="183"/>
      <c r="K65" s="110" t="s">
        <v>747</v>
      </c>
      <c r="L65" s="172">
        <v>800</v>
      </c>
      <c r="M65" s="58">
        <v>806</v>
      </c>
      <c r="N65" s="109">
        <f t="shared" ref="N65:N70" si="33">IF(L65,MIN(1,M65/L65),"")</f>
        <v>1</v>
      </c>
      <c r="O65" s="1337"/>
      <c r="P65" s="1305"/>
      <c r="Q65" s="165"/>
      <c r="R65" s="257"/>
      <c r="T65" s="466" t="s">
        <v>748</v>
      </c>
      <c r="U65" s="497" t="s">
        <v>749</v>
      </c>
      <c r="W65" s="500" t="s">
        <v>585</v>
      </c>
      <c r="X65" s="501" t="s">
        <v>412</v>
      </c>
      <c r="Y65" s="501" t="s">
        <v>585</v>
      </c>
      <c r="Z65" s="502" t="s">
        <v>585</v>
      </c>
      <c r="AA65" s="503" t="s">
        <v>750</v>
      </c>
      <c r="AB65" s="501" t="s">
        <v>585</v>
      </c>
      <c r="AC65" s="501" t="s">
        <v>585</v>
      </c>
      <c r="AD65" s="501" t="s">
        <v>585</v>
      </c>
      <c r="AE65" s="504" t="s">
        <v>751</v>
      </c>
      <c r="AF65" s="505" t="s">
        <v>585</v>
      </c>
      <c r="AG65" s="498" t="s">
        <v>752</v>
      </c>
      <c r="AH65" s="499" t="s">
        <v>587</v>
      </c>
    </row>
    <row r="66" spans="1:34" ht="31.5" customHeight="1">
      <c r="A66" s="1357"/>
      <c r="B66" s="167">
        <f t="shared" ref="B66:B70" si="34">B65+1</f>
        <v>191</v>
      </c>
      <c r="C66" s="170" t="s">
        <v>315</v>
      </c>
      <c r="D66" s="177" t="s">
        <v>595</v>
      </c>
      <c r="E66" s="61"/>
      <c r="F66" s="408"/>
      <c r="G66" s="408"/>
      <c r="H66" s="408"/>
      <c r="I66" s="356">
        <v>287500</v>
      </c>
      <c r="J66" s="183"/>
      <c r="K66" s="110" t="s">
        <v>505</v>
      </c>
      <c r="L66" s="172">
        <v>26</v>
      </c>
      <c r="M66" s="58">
        <v>26</v>
      </c>
      <c r="N66" s="109">
        <f t="shared" si="33"/>
        <v>1</v>
      </c>
      <c r="O66" s="1337"/>
      <c r="P66" s="1305"/>
      <c r="Q66" s="165"/>
      <c r="R66" s="257"/>
      <c r="T66" s="466" t="s">
        <v>753</v>
      </c>
      <c r="U66" s="497" t="s">
        <v>754</v>
      </c>
      <c r="W66" s="500" t="s">
        <v>585</v>
      </c>
      <c r="X66" s="501" t="s">
        <v>585</v>
      </c>
      <c r="Y66" s="501" t="s">
        <v>585</v>
      </c>
      <c r="Z66" s="502" t="s">
        <v>412</v>
      </c>
      <c r="AA66" s="503" t="s">
        <v>755</v>
      </c>
      <c r="AB66" s="501" t="s">
        <v>585</v>
      </c>
      <c r="AC66" s="501" t="s">
        <v>585</v>
      </c>
      <c r="AD66" s="501" t="s">
        <v>585</v>
      </c>
      <c r="AE66" s="504" t="s">
        <v>756</v>
      </c>
      <c r="AF66" s="505" t="s">
        <v>585</v>
      </c>
      <c r="AG66" s="498" t="s">
        <v>752</v>
      </c>
      <c r="AH66" s="499" t="s">
        <v>587</v>
      </c>
    </row>
    <row r="67" spans="1:34" ht="31.5" customHeight="1">
      <c r="A67" s="1357"/>
      <c r="B67" s="167">
        <f t="shared" si="34"/>
        <v>192</v>
      </c>
      <c r="C67" s="170" t="s">
        <v>316</v>
      </c>
      <c r="D67" s="177" t="s">
        <v>595</v>
      </c>
      <c r="E67" s="61"/>
      <c r="F67" s="408"/>
      <c r="G67" s="408"/>
      <c r="H67" s="408"/>
      <c r="I67" s="356">
        <v>164063</v>
      </c>
      <c r="J67" s="183"/>
      <c r="K67" s="171" t="s">
        <v>505</v>
      </c>
      <c r="L67" s="172">
        <v>6</v>
      </c>
      <c r="M67" s="58">
        <v>6</v>
      </c>
      <c r="N67" s="109">
        <f t="shared" si="33"/>
        <v>1</v>
      </c>
      <c r="O67" s="1337"/>
      <c r="P67" s="1305"/>
      <c r="Q67" s="165"/>
      <c r="R67" s="257"/>
      <c r="T67" s="466" t="s">
        <v>757</v>
      </c>
      <c r="U67" s="497" t="s">
        <v>758</v>
      </c>
      <c r="W67" s="500" t="s">
        <v>585</v>
      </c>
      <c r="X67" s="501" t="s">
        <v>585</v>
      </c>
      <c r="Y67" s="501" t="s">
        <v>585</v>
      </c>
      <c r="Z67" s="502" t="s">
        <v>412</v>
      </c>
      <c r="AA67" s="503" t="s">
        <v>759</v>
      </c>
      <c r="AB67" s="501" t="s">
        <v>585</v>
      </c>
      <c r="AC67" s="501" t="s">
        <v>585</v>
      </c>
      <c r="AD67" s="501" t="s">
        <v>585</v>
      </c>
      <c r="AE67" s="504" t="s">
        <v>760</v>
      </c>
      <c r="AF67" s="505" t="s">
        <v>585</v>
      </c>
      <c r="AG67" s="498" t="s">
        <v>649</v>
      </c>
      <c r="AH67" s="499" t="s">
        <v>587</v>
      </c>
    </row>
    <row r="68" spans="1:34" ht="31.5" customHeight="1">
      <c r="A68" s="1357"/>
      <c r="B68" s="167">
        <f t="shared" si="34"/>
        <v>193</v>
      </c>
      <c r="C68" s="170" t="s">
        <v>317</v>
      </c>
      <c r="D68" s="177" t="s">
        <v>78</v>
      </c>
      <c r="E68" s="408"/>
      <c r="F68" s="408"/>
      <c r="G68" s="408"/>
      <c r="H68" s="408"/>
      <c r="I68" s="356">
        <v>23438</v>
      </c>
      <c r="J68" s="183"/>
      <c r="K68" s="171" t="s">
        <v>761</v>
      </c>
      <c r="L68" s="172">
        <v>4</v>
      </c>
      <c r="M68" s="58">
        <v>4</v>
      </c>
      <c r="N68" s="109">
        <f t="shared" si="33"/>
        <v>1</v>
      </c>
      <c r="O68" s="1337"/>
      <c r="P68" s="1305"/>
      <c r="Q68" s="165"/>
      <c r="R68" s="257"/>
      <c r="T68" s="466" t="s">
        <v>762</v>
      </c>
      <c r="U68" s="497" t="s">
        <v>763</v>
      </c>
      <c r="W68" s="500" t="s">
        <v>585</v>
      </c>
      <c r="X68" s="501" t="s">
        <v>585</v>
      </c>
      <c r="Y68" s="501" t="s">
        <v>585</v>
      </c>
      <c r="Z68" s="502" t="s">
        <v>585</v>
      </c>
      <c r="AA68" s="503" t="s">
        <v>585</v>
      </c>
      <c r="AB68" s="501" t="s">
        <v>585</v>
      </c>
      <c r="AC68" s="501" t="s">
        <v>585</v>
      </c>
      <c r="AD68" s="501" t="s">
        <v>585</v>
      </c>
      <c r="AE68" s="504" t="s">
        <v>585</v>
      </c>
      <c r="AF68" s="505" t="s">
        <v>585</v>
      </c>
      <c r="AG68" s="498" t="s">
        <v>764</v>
      </c>
      <c r="AH68" s="499" t="s">
        <v>587</v>
      </c>
    </row>
    <row r="69" spans="1:34" ht="31.5" customHeight="1">
      <c r="A69" s="1357"/>
      <c r="B69" s="167">
        <f t="shared" si="34"/>
        <v>194</v>
      </c>
      <c r="C69" s="170" t="s">
        <v>318</v>
      </c>
      <c r="D69" s="177" t="s">
        <v>595</v>
      </c>
      <c r="E69" s="61"/>
      <c r="F69" s="408"/>
      <c r="G69" s="408"/>
      <c r="H69" s="408"/>
      <c r="I69" s="356">
        <v>312500</v>
      </c>
      <c r="J69" s="183"/>
      <c r="K69" s="110" t="s">
        <v>765</v>
      </c>
      <c r="L69" s="172">
        <v>8</v>
      </c>
      <c r="M69" s="58">
        <v>3</v>
      </c>
      <c r="N69" s="109">
        <f t="shared" si="33"/>
        <v>0.375</v>
      </c>
      <c r="O69" s="1337"/>
      <c r="P69" s="1305"/>
      <c r="Q69" s="165"/>
      <c r="R69" s="257"/>
      <c r="T69" s="466" t="s">
        <v>766</v>
      </c>
      <c r="U69" s="497" t="s">
        <v>767</v>
      </c>
      <c r="W69" s="500" t="s">
        <v>585</v>
      </c>
      <c r="X69" s="501" t="s">
        <v>412</v>
      </c>
      <c r="Y69" s="501" t="s">
        <v>585</v>
      </c>
      <c r="Z69" s="502" t="s">
        <v>585</v>
      </c>
      <c r="AA69" s="503" t="s">
        <v>768</v>
      </c>
      <c r="AB69" s="501" t="s">
        <v>585</v>
      </c>
      <c r="AC69" s="501" t="s">
        <v>585</v>
      </c>
      <c r="AD69" s="501" t="s">
        <v>412</v>
      </c>
      <c r="AE69" s="504" t="s">
        <v>769</v>
      </c>
      <c r="AF69" s="505" t="s">
        <v>585</v>
      </c>
      <c r="AG69" s="498" t="s">
        <v>649</v>
      </c>
      <c r="AH69" s="499" t="s">
        <v>587</v>
      </c>
    </row>
    <row r="70" spans="1:34" ht="31.5" customHeight="1">
      <c r="A70" s="1357"/>
      <c r="B70" s="167">
        <f t="shared" si="34"/>
        <v>195</v>
      </c>
      <c r="C70" s="170" t="s">
        <v>319</v>
      </c>
      <c r="D70" s="178" t="s">
        <v>78</v>
      </c>
      <c r="E70" s="61"/>
      <c r="F70" s="408"/>
      <c r="G70" s="408"/>
      <c r="H70" s="60"/>
      <c r="I70" s="356">
        <v>3906</v>
      </c>
      <c r="J70" s="184"/>
      <c r="K70" s="110" t="s">
        <v>761</v>
      </c>
      <c r="L70" s="172">
        <v>5</v>
      </c>
      <c r="M70" s="58">
        <v>0</v>
      </c>
      <c r="N70" s="109">
        <f t="shared" si="33"/>
        <v>0</v>
      </c>
      <c r="O70" s="1338"/>
      <c r="P70" s="1305"/>
      <c r="Q70" s="165"/>
      <c r="R70" s="257"/>
      <c r="T70" s="466" t="s">
        <v>770</v>
      </c>
      <c r="U70" s="497" t="s">
        <v>771</v>
      </c>
      <c r="W70" s="500" t="s">
        <v>412</v>
      </c>
      <c r="X70" s="501" t="s">
        <v>412</v>
      </c>
      <c r="Y70" s="501" t="s">
        <v>585</v>
      </c>
      <c r="Z70" s="502" t="s">
        <v>412</v>
      </c>
      <c r="AA70" s="503" t="s">
        <v>772</v>
      </c>
      <c r="AB70" s="501" t="s">
        <v>585</v>
      </c>
      <c r="AC70" s="501" t="s">
        <v>585</v>
      </c>
      <c r="AD70" s="501" t="s">
        <v>585</v>
      </c>
      <c r="AE70" s="504" t="s">
        <v>773</v>
      </c>
      <c r="AF70" s="505" t="s">
        <v>585</v>
      </c>
      <c r="AG70" s="498" t="s">
        <v>774</v>
      </c>
      <c r="AH70" s="499" t="s">
        <v>587</v>
      </c>
    </row>
    <row r="71" spans="1:34">
      <c r="A71" s="1358"/>
      <c r="B71" s="65"/>
      <c r="C71" s="81"/>
      <c r="D71" s="120"/>
      <c r="E71" s="67"/>
      <c r="F71" s="67"/>
      <c r="G71" s="67"/>
      <c r="H71" s="66"/>
      <c r="I71" s="359">
        <f t="shared" ref="I71" si="35">SUM(I64:I70)</f>
        <v>1050789</v>
      </c>
      <c r="J71" s="139"/>
      <c r="K71" s="442"/>
      <c r="L71" s="440">
        <f>SUM(L64:L70)</f>
        <v>853</v>
      </c>
      <c r="M71" s="443">
        <f>SUM(M64:M70)</f>
        <v>845</v>
      </c>
      <c r="N71" s="444">
        <f>IFERROR(AVERAGE(N64:N70),"")</f>
        <v>0.625</v>
      </c>
      <c r="O71" s="444">
        <f>IFERROR(AVERAGE(N50:N55,N57:N62,N64:N70),"")</f>
        <v>0.53518518518518521</v>
      </c>
      <c r="P71" s="1305"/>
      <c r="Q71" s="352">
        <f>SUM(Q64:Q70)</f>
        <v>0</v>
      </c>
      <c r="R71" s="70">
        <f t="shared" ref="R71" si="36">SUM(R64:R70)</f>
        <v>0</v>
      </c>
      <c r="T71" s="68"/>
      <c r="U71" s="469"/>
      <c r="W71" s="478"/>
      <c r="X71" s="67"/>
      <c r="Y71" s="67"/>
      <c r="Z71" s="67"/>
      <c r="AA71" s="67"/>
      <c r="AB71" s="67"/>
      <c r="AC71" s="67"/>
      <c r="AD71" s="67"/>
      <c r="AE71" s="67"/>
      <c r="AF71" s="67"/>
      <c r="AG71" s="67"/>
      <c r="AH71" s="467"/>
    </row>
    <row r="72" spans="1:34" ht="30.75" customHeight="1">
      <c r="A72" s="360" t="s">
        <v>320</v>
      </c>
      <c r="B72" s="361"/>
      <c r="C72" s="361"/>
      <c r="D72" s="362"/>
      <c r="E72" s="363" t="s">
        <v>248</v>
      </c>
      <c r="F72" s="364" t="s">
        <v>249</v>
      </c>
      <c r="G72" s="364" t="s">
        <v>250</v>
      </c>
      <c r="H72" s="365" t="s">
        <v>251</v>
      </c>
      <c r="I72" s="389">
        <f t="shared" ref="I72" si="37">I77+I83+I88</f>
        <v>233203</v>
      </c>
      <c r="J72" s="366"/>
      <c r="K72" s="367"/>
      <c r="L72" s="368"/>
      <c r="M72" s="369"/>
      <c r="N72" s="370"/>
      <c r="O72" s="371"/>
      <c r="P72" s="1305"/>
      <c r="Q72" s="373">
        <f t="shared" ref="Q72:R72" si="38">Q77+Q83+Q88</f>
        <v>0</v>
      </c>
      <c r="R72" s="374">
        <f t="shared" si="38"/>
        <v>0</v>
      </c>
      <c r="T72" s="464" t="s">
        <v>320</v>
      </c>
      <c r="U72" s="465"/>
      <c r="W72" s="464" t="s">
        <v>320</v>
      </c>
      <c r="X72" s="458"/>
      <c r="Y72" s="458"/>
      <c r="Z72" s="458"/>
      <c r="AA72" s="458"/>
      <c r="AB72" s="458"/>
      <c r="AC72" s="458"/>
      <c r="AD72" s="458"/>
      <c r="AE72" s="458"/>
      <c r="AF72" s="458"/>
      <c r="AG72" s="458"/>
      <c r="AH72" s="465"/>
    </row>
    <row r="73" spans="1:34" ht="30.65" customHeight="1">
      <c r="A73" s="1347" t="s">
        <v>321</v>
      </c>
      <c r="B73" s="167"/>
      <c r="C73" s="170" t="s">
        <v>322</v>
      </c>
      <c r="D73" s="176" t="s">
        <v>78</v>
      </c>
      <c r="E73" s="61"/>
      <c r="F73" s="61"/>
      <c r="G73" s="61"/>
      <c r="H73" s="60"/>
      <c r="I73" s="356">
        <v>0</v>
      </c>
      <c r="J73" s="182"/>
      <c r="K73" s="171"/>
      <c r="L73" s="1125"/>
      <c r="M73" s="58"/>
      <c r="N73" s="109" t="str">
        <f t="shared" ref="N73:N76" si="39">IF(L73,MIN(1,M73/L73),"")</f>
        <v/>
      </c>
      <c r="O73" s="1339"/>
      <c r="P73" s="1305"/>
      <c r="Q73" s="165"/>
      <c r="R73" s="257"/>
      <c r="T73" s="466" t="s">
        <v>775</v>
      </c>
      <c r="U73" s="497"/>
      <c r="W73" s="500"/>
      <c r="X73" s="501"/>
      <c r="Y73" s="501"/>
      <c r="Z73" s="502"/>
      <c r="AA73" s="503"/>
      <c r="AB73" s="501"/>
      <c r="AC73" s="501"/>
      <c r="AD73" s="501"/>
      <c r="AE73" s="504"/>
      <c r="AF73" s="505"/>
      <c r="AG73" s="498"/>
      <c r="AH73" s="499"/>
    </row>
    <row r="74" spans="1:34" ht="30.65" customHeight="1">
      <c r="A74" s="1303"/>
      <c r="B74" s="167">
        <v>196</v>
      </c>
      <c r="C74" s="170" t="s">
        <v>323</v>
      </c>
      <c r="D74" s="177" t="s">
        <v>588</v>
      </c>
      <c r="E74" s="408"/>
      <c r="F74" s="408"/>
      <c r="G74" s="408"/>
      <c r="H74" s="60"/>
      <c r="I74" s="356">
        <v>27500</v>
      </c>
      <c r="J74" s="183"/>
      <c r="K74" s="171" t="s">
        <v>505</v>
      </c>
      <c r="L74" s="1125">
        <v>1</v>
      </c>
      <c r="M74" s="58">
        <v>1</v>
      </c>
      <c r="N74" s="109">
        <f t="shared" si="39"/>
        <v>1</v>
      </c>
      <c r="O74" s="1305"/>
      <c r="P74" s="1305"/>
      <c r="Q74" s="165"/>
      <c r="R74" s="257"/>
      <c r="T74" s="466" t="s">
        <v>776</v>
      </c>
      <c r="U74" s="497" t="s">
        <v>777</v>
      </c>
      <c r="W74" s="500" t="s">
        <v>412</v>
      </c>
      <c r="X74" s="501" t="s">
        <v>412</v>
      </c>
      <c r="Y74" s="501" t="s">
        <v>412</v>
      </c>
      <c r="Z74" s="502" t="s">
        <v>412</v>
      </c>
      <c r="AA74" s="503" t="s">
        <v>412</v>
      </c>
      <c r="AB74" s="501" t="s">
        <v>412</v>
      </c>
      <c r="AC74" s="501" t="s">
        <v>585</v>
      </c>
      <c r="AD74" s="501" t="s">
        <v>412</v>
      </c>
      <c r="AE74" s="504" t="s">
        <v>778</v>
      </c>
      <c r="AF74" s="505" t="s">
        <v>617</v>
      </c>
      <c r="AG74" s="498" t="s">
        <v>779</v>
      </c>
      <c r="AH74" s="499" t="s">
        <v>587</v>
      </c>
    </row>
    <row r="75" spans="1:34" ht="30.65" customHeight="1">
      <c r="A75" s="1348"/>
      <c r="B75" s="167">
        <f t="shared" ref="B75:B76" si="40">B74+1</f>
        <v>197</v>
      </c>
      <c r="C75" s="170" t="s">
        <v>324</v>
      </c>
      <c r="D75" s="177" t="s">
        <v>588</v>
      </c>
      <c r="E75" s="61"/>
      <c r="F75" s="408"/>
      <c r="G75" s="408"/>
      <c r="H75" s="60"/>
      <c r="I75" s="356">
        <v>5156</v>
      </c>
      <c r="J75" s="183"/>
      <c r="K75" s="171" t="s">
        <v>780</v>
      </c>
      <c r="L75" s="1125">
        <v>2</v>
      </c>
      <c r="M75" s="58">
        <v>2</v>
      </c>
      <c r="N75" s="109">
        <f t="shared" si="39"/>
        <v>1</v>
      </c>
      <c r="O75" s="1305"/>
      <c r="P75" s="1305"/>
      <c r="Q75" s="165"/>
      <c r="R75" s="257"/>
      <c r="T75" s="466" t="s">
        <v>781</v>
      </c>
      <c r="U75" s="497" t="s">
        <v>782</v>
      </c>
      <c r="W75" s="500" t="s">
        <v>412</v>
      </c>
      <c r="X75" s="501" t="s">
        <v>412</v>
      </c>
      <c r="Y75" s="501" t="s">
        <v>412</v>
      </c>
      <c r="Z75" s="502" t="s">
        <v>412</v>
      </c>
      <c r="AA75" s="503" t="s">
        <v>412</v>
      </c>
      <c r="AB75" s="501" t="s">
        <v>412</v>
      </c>
      <c r="AC75" s="501" t="s">
        <v>412</v>
      </c>
      <c r="AD75" s="501" t="s">
        <v>412</v>
      </c>
      <c r="AE75" s="504" t="s">
        <v>412</v>
      </c>
      <c r="AF75" s="505" t="s">
        <v>617</v>
      </c>
      <c r="AG75" s="498" t="s">
        <v>783</v>
      </c>
      <c r="AH75" s="499" t="s">
        <v>587</v>
      </c>
    </row>
    <row r="76" spans="1:34" ht="30.65" customHeight="1">
      <c r="A76" s="1348"/>
      <c r="B76" s="167">
        <f t="shared" si="40"/>
        <v>198</v>
      </c>
      <c r="C76" s="170" t="s">
        <v>325</v>
      </c>
      <c r="D76" s="178" t="s">
        <v>588</v>
      </c>
      <c r="E76" s="61"/>
      <c r="F76" s="408"/>
      <c r="G76" s="408"/>
      <c r="H76" s="60"/>
      <c r="I76" s="356">
        <v>15422</v>
      </c>
      <c r="J76" s="184"/>
      <c r="K76" s="171" t="s">
        <v>505</v>
      </c>
      <c r="L76" s="1125">
        <v>1</v>
      </c>
      <c r="M76" s="58">
        <v>1</v>
      </c>
      <c r="N76" s="109">
        <f t="shared" si="39"/>
        <v>1</v>
      </c>
      <c r="O76" s="1305"/>
      <c r="P76" s="1305"/>
      <c r="Q76" s="165"/>
      <c r="R76" s="257"/>
      <c r="T76" s="466" t="s">
        <v>784</v>
      </c>
      <c r="U76" s="497" t="s">
        <v>785</v>
      </c>
      <c r="W76" s="500" t="s">
        <v>585</v>
      </c>
      <c r="X76" s="501" t="s">
        <v>585</v>
      </c>
      <c r="Y76" s="501" t="s">
        <v>585</v>
      </c>
      <c r="Z76" s="502" t="s">
        <v>412</v>
      </c>
      <c r="AA76" s="503" t="s">
        <v>786</v>
      </c>
      <c r="AB76" s="501" t="s">
        <v>585</v>
      </c>
      <c r="AC76" s="501" t="s">
        <v>585</v>
      </c>
      <c r="AD76" s="501" t="s">
        <v>585</v>
      </c>
      <c r="AE76" s="504" t="s">
        <v>787</v>
      </c>
      <c r="AF76" s="505" t="s">
        <v>617</v>
      </c>
      <c r="AG76" s="498" t="s">
        <v>649</v>
      </c>
      <c r="AH76" s="499" t="s">
        <v>587</v>
      </c>
    </row>
    <row r="77" spans="1:34">
      <c r="A77" s="1348"/>
      <c r="B77" s="65"/>
      <c r="C77" s="81"/>
      <c r="D77" s="120"/>
      <c r="E77" s="67"/>
      <c r="F77" s="67"/>
      <c r="G77" s="67"/>
      <c r="H77" s="66"/>
      <c r="I77" s="359">
        <f t="shared" ref="I77" si="41">SUM(I73:I76)</f>
        <v>48078</v>
      </c>
      <c r="J77" s="139"/>
      <c r="K77" s="111"/>
      <c r="L77" s="173">
        <f>SUM(L73:L76)</f>
        <v>4</v>
      </c>
      <c r="M77" s="68">
        <f>SUM(M73:M76)</f>
        <v>4</v>
      </c>
      <c r="N77" s="69">
        <f>IFERROR(AVERAGE(N73:N76),"")</f>
        <v>1</v>
      </c>
      <c r="O77" s="1305"/>
      <c r="P77" s="1305"/>
      <c r="Q77" s="352">
        <f>SUM(Q73:Q76)</f>
        <v>0</v>
      </c>
      <c r="R77" s="70">
        <f>SUM(R73:R76)</f>
        <v>0</v>
      </c>
      <c r="T77" s="68"/>
      <c r="U77" s="469"/>
      <c r="W77" s="478"/>
      <c r="X77" s="67"/>
      <c r="Y77" s="67"/>
      <c r="Z77" s="67"/>
      <c r="AA77" s="67"/>
      <c r="AB77" s="67"/>
      <c r="AC77" s="67"/>
      <c r="AD77" s="67"/>
      <c r="AE77" s="67"/>
      <c r="AF77" s="67"/>
      <c r="AG77" s="67"/>
      <c r="AH77" s="467"/>
    </row>
    <row r="78" spans="1:34" ht="30.65" customHeight="1">
      <c r="A78" s="1359" t="s">
        <v>326</v>
      </c>
      <c r="B78" s="167">
        <f>B76+1</f>
        <v>199</v>
      </c>
      <c r="C78" s="170" t="s">
        <v>327</v>
      </c>
      <c r="D78" s="176" t="s">
        <v>582</v>
      </c>
      <c r="E78" s="61"/>
      <c r="F78" s="408"/>
      <c r="G78" s="408"/>
      <c r="H78" s="60"/>
      <c r="I78" s="356">
        <v>3906</v>
      </c>
      <c r="J78" s="182"/>
      <c r="K78" s="171" t="s">
        <v>788</v>
      </c>
      <c r="L78" s="1125">
        <v>1</v>
      </c>
      <c r="M78" s="58">
        <v>1</v>
      </c>
      <c r="N78" s="109">
        <f t="shared" ref="N78:N82" si="42">IF(L78,MIN(1,M78/L78),"")</f>
        <v>1</v>
      </c>
      <c r="O78" s="1305"/>
      <c r="P78" s="1305"/>
      <c r="Q78" s="165"/>
      <c r="R78" s="257"/>
      <c r="T78" s="466" t="s">
        <v>789</v>
      </c>
      <c r="U78" s="497" t="s">
        <v>790</v>
      </c>
      <c r="W78" s="500" t="s">
        <v>585</v>
      </c>
      <c r="X78" s="501" t="s">
        <v>412</v>
      </c>
      <c r="Y78" s="501" t="s">
        <v>585</v>
      </c>
      <c r="Z78" s="502" t="s">
        <v>412</v>
      </c>
      <c r="AA78" s="503" t="s">
        <v>791</v>
      </c>
      <c r="AB78" s="501" t="s">
        <v>585</v>
      </c>
      <c r="AC78" s="501" t="s">
        <v>585</v>
      </c>
      <c r="AD78" s="501" t="s">
        <v>585</v>
      </c>
      <c r="AE78" s="504" t="s">
        <v>792</v>
      </c>
      <c r="AF78" s="505" t="s">
        <v>585</v>
      </c>
      <c r="AG78" s="498" t="s">
        <v>793</v>
      </c>
      <c r="AH78" s="499" t="s">
        <v>587</v>
      </c>
    </row>
    <row r="79" spans="1:34" ht="30.65" customHeight="1">
      <c r="A79" s="1359"/>
      <c r="B79" s="167">
        <f>B78+1</f>
        <v>200</v>
      </c>
      <c r="C79" s="170" t="s">
        <v>328</v>
      </c>
      <c r="D79" s="177" t="s">
        <v>582</v>
      </c>
      <c r="E79" s="408"/>
      <c r="F79" s="408"/>
      <c r="G79" s="408"/>
      <c r="H79" s="60"/>
      <c r="I79" s="356">
        <v>3906</v>
      </c>
      <c r="J79" s="183"/>
      <c r="K79" s="171" t="s">
        <v>794</v>
      </c>
      <c r="L79" s="1125">
        <v>1</v>
      </c>
      <c r="M79" s="58">
        <v>1</v>
      </c>
      <c r="N79" s="109">
        <f t="shared" si="42"/>
        <v>1</v>
      </c>
      <c r="O79" s="1305"/>
      <c r="P79" s="1305"/>
      <c r="Q79" s="165"/>
      <c r="R79" s="257"/>
      <c r="T79" s="466" t="s">
        <v>795</v>
      </c>
      <c r="U79" s="497" t="s">
        <v>796</v>
      </c>
      <c r="W79" s="500" t="s">
        <v>412</v>
      </c>
      <c r="X79" s="501" t="s">
        <v>412</v>
      </c>
      <c r="Y79" s="501" t="s">
        <v>412</v>
      </c>
      <c r="Z79" s="502" t="s">
        <v>412</v>
      </c>
      <c r="AA79" s="503" t="s">
        <v>412</v>
      </c>
      <c r="AB79" s="501" t="s">
        <v>412</v>
      </c>
      <c r="AC79" s="501" t="s">
        <v>412</v>
      </c>
      <c r="AD79" s="501" t="s">
        <v>412</v>
      </c>
      <c r="AE79" s="504" t="s">
        <v>412</v>
      </c>
      <c r="AF79" s="505" t="s">
        <v>585</v>
      </c>
      <c r="AG79" s="498" t="s">
        <v>797</v>
      </c>
      <c r="AH79" s="499" t="s">
        <v>587</v>
      </c>
    </row>
    <row r="80" spans="1:34" ht="30.65" customHeight="1">
      <c r="A80" s="1359"/>
      <c r="B80" s="167">
        <f t="shared" ref="B80:B82" si="43">B79+1</f>
        <v>201</v>
      </c>
      <c r="C80" s="170" t="s">
        <v>329</v>
      </c>
      <c r="D80" s="177" t="s">
        <v>582</v>
      </c>
      <c r="E80" s="408"/>
      <c r="F80" s="408"/>
      <c r="G80" s="61"/>
      <c r="H80" s="60"/>
      <c r="I80" s="356">
        <v>7813</v>
      </c>
      <c r="J80" s="183"/>
      <c r="K80" s="171" t="s">
        <v>719</v>
      </c>
      <c r="L80" s="1125">
        <v>4</v>
      </c>
      <c r="M80" s="58">
        <v>2</v>
      </c>
      <c r="N80" s="109">
        <f t="shared" si="42"/>
        <v>0.5</v>
      </c>
      <c r="O80" s="1305"/>
      <c r="P80" s="1305"/>
      <c r="Q80" s="165"/>
      <c r="R80" s="257"/>
      <c r="T80" s="466" t="s">
        <v>798</v>
      </c>
      <c r="U80" s="497" t="s">
        <v>799</v>
      </c>
      <c r="W80" s="500" t="s">
        <v>412</v>
      </c>
      <c r="X80" s="501" t="s">
        <v>412</v>
      </c>
      <c r="Y80" s="501" t="s">
        <v>412</v>
      </c>
      <c r="Z80" s="502" t="s">
        <v>412</v>
      </c>
      <c r="AA80" s="503" t="s">
        <v>412</v>
      </c>
      <c r="AB80" s="501" t="s">
        <v>412</v>
      </c>
      <c r="AC80" s="501" t="s">
        <v>412</v>
      </c>
      <c r="AD80" s="501" t="s">
        <v>412</v>
      </c>
      <c r="AE80" s="504" t="s">
        <v>412</v>
      </c>
      <c r="AF80" s="505" t="s">
        <v>585</v>
      </c>
      <c r="AG80" s="498" t="s">
        <v>800</v>
      </c>
      <c r="AH80" s="499" t="s">
        <v>587</v>
      </c>
    </row>
    <row r="81" spans="1:34" ht="30.65" customHeight="1">
      <c r="A81" s="1348"/>
      <c r="B81" s="167">
        <f t="shared" si="43"/>
        <v>202</v>
      </c>
      <c r="C81" s="170" t="s">
        <v>330</v>
      </c>
      <c r="D81" s="177" t="s">
        <v>588</v>
      </c>
      <c r="E81" s="408"/>
      <c r="F81" s="408"/>
      <c r="G81" s="408"/>
      <c r="H81" s="408"/>
      <c r="I81" s="356">
        <v>10906</v>
      </c>
      <c r="J81" s="183"/>
      <c r="K81" s="171" t="s">
        <v>801</v>
      </c>
      <c r="L81" s="1125">
        <v>1</v>
      </c>
      <c r="M81" s="58">
        <v>1</v>
      </c>
      <c r="N81" s="109">
        <f t="shared" si="42"/>
        <v>1</v>
      </c>
      <c r="O81" s="1305"/>
      <c r="P81" s="1305"/>
      <c r="Q81" s="165"/>
      <c r="R81" s="257"/>
      <c r="T81" s="466" t="s">
        <v>802</v>
      </c>
      <c r="U81" s="497" t="s">
        <v>803</v>
      </c>
      <c r="W81" s="500" t="s">
        <v>412</v>
      </c>
      <c r="X81" s="501" t="s">
        <v>412</v>
      </c>
      <c r="Y81" s="501" t="s">
        <v>585</v>
      </c>
      <c r="Z81" s="502" t="s">
        <v>412</v>
      </c>
      <c r="AA81" s="503" t="s">
        <v>804</v>
      </c>
      <c r="AB81" s="501" t="s">
        <v>585</v>
      </c>
      <c r="AC81" s="501" t="s">
        <v>585</v>
      </c>
      <c r="AD81" s="501" t="s">
        <v>805</v>
      </c>
      <c r="AE81" s="504" t="s">
        <v>806</v>
      </c>
      <c r="AF81" s="505" t="s">
        <v>585</v>
      </c>
      <c r="AG81" s="498" t="s">
        <v>807</v>
      </c>
      <c r="AH81" s="499" t="s">
        <v>587</v>
      </c>
    </row>
    <row r="82" spans="1:34" ht="30.65" customHeight="1">
      <c r="A82" s="1348"/>
      <c r="B82" s="167">
        <f t="shared" si="43"/>
        <v>203</v>
      </c>
      <c r="C82" s="170" t="s">
        <v>331</v>
      </c>
      <c r="D82" s="178" t="s">
        <v>588</v>
      </c>
      <c r="E82" s="408"/>
      <c r="F82" s="408"/>
      <c r="G82" s="61"/>
      <c r="H82" s="60"/>
      <c r="I82" s="356">
        <v>6250</v>
      </c>
      <c r="J82" s="184"/>
      <c r="K82" s="1126" t="s">
        <v>719</v>
      </c>
      <c r="L82" s="1125">
        <v>4</v>
      </c>
      <c r="M82" s="58">
        <v>4</v>
      </c>
      <c r="N82" s="109">
        <f t="shared" si="42"/>
        <v>1</v>
      </c>
      <c r="O82" s="1305"/>
      <c r="P82" s="1305"/>
      <c r="Q82" s="165"/>
      <c r="R82" s="257"/>
      <c r="T82" s="466" t="s">
        <v>808</v>
      </c>
      <c r="U82" s="497" t="s">
        <v>809</v>
      </c>
      <c r="W82" s="500" t="s">
        <v>412</v>
      </c>
      <c r="X82" s="501" t="s">
        <v>412</v>
      </c>
      <c r="Y82" s="501" t="s">
        <v>412</v>
      </c>
      <c r="Z82" s="502" t="s">
        <v>412</v>
      </c>
      <c r="AA82" s="503" t="s">
        <v>412</v>
      </c>
      <c r="AB82" s="501" t="s">
        <v>412</v>
      </c>
      <c r="AC82" s="501" t="s">
        <v>412</v>
      </c>
      <c r="AD82" s="501" t="s">
        <v>412</v>
      </c>
      <c r="AE82" s="504" t="s">
        <v>412</v>
      </c>
      <c r="AF82" s="505" t="s">
        <v>585</v>
      </c>
      <c r="AG82" s="498" t="s">
        <v>810</v>
      </c>
      <c r="AH82" s="499" t="s">
        <v>587</v>
      </c>
    </row>
    <row r="83" spans="1:34">
      <c r="A83" s="1348"/>
      <c r="B83" s="65"/>
      <c r="C83" s="81"/>
      <c r="D83" s="120"/>
      <c r="E83" s="67"/>
      <c r="F83" s="67"/>
      <c r="G83" s="67"/>
      <c r="H83" s="66"/>
      <c r="I83" s="359">
        <f t="shared" ref="I83" si="44">SUM(I78:I82)</f>
        <v>32781</v>
      </c>
      <c r="J83" s="139"/>
      <c r="K83" s="111"/>
      <c r="L83" s="173">
        <f>SUM(L78:L82)</f>
        <v>11</v>
      </c>
      <c r="M83" s="68">
        <f>SUM(M78:M82)</f>
        <v>9</v>
      </c>
      <c r="N83" s="69">
        <f>IFERROR(AVERAGE(N78:N82),"")</f>
        <v>0.9</v>
      </c>
      <c r="O83" s="1305"/>
      <c r="P83" s="1305"/>
      <c r="Q83" s="352">
        <f>SUM(Q78:Q82)</f>
        <v>0</v>
      </c>
      <c r="R83" s="70">
        <f>SUM(R78:R82)</f>
        <v>0</v>
      </c>
      <c r="T83" s="68"/>
      <c r="U83" s="469"/>
      <c r="W83" s="478"/>
      <c r="X83" s="67"/>
      <c r="Y83" s="67"/>
      <c r="Z83" s="67"/>
      <c r="AA83" s="67"/>
      <c r="AB83" s="67"/>
      <c r="AC83" s="67"/>
      <c r="AD83" s="67"/>
      <c r="AE83" s="67"/>
      <c r="AF83" s="67"/>
      <c r="AG83" s="67"/>
      <c r="AH83" s="467"/>
    </row>
    <row r="84" spans="1:34" ht="30.65" customHeight="1">
      <c r="A84" s="1347" t="s">
        <v>332</v>
      </c>
      <c r="B84" s="167">
        <f>B70+1</f>
        <v>196</v>
      </c>
      <c r="C84" s="170" t="s">
        <v>333</v>
      </c>
      <c r="D84" s="176" t="s">
        <v>588</v>
      </c>
      <c r="E84" s="408"/>
      <c r="F84" s="408"/>
      <c r="G84" s="408"/>
      <c r="H84" s="60"/>
      <c r="I84" s="356">
        <v>7813</v>
      </c>
      <c r="J84" s="182"/>
      <c r="K84" s="171" t="s">
        <v>811</v>
      </c>
      <c r="L84" s="1125">
        <v>2</v>
      </c>
      <c r="M84" s="58">
        <v>1</v>
      </c>
      <c r="N84" s="109">
        <f t="shared" ref="N84:N87" si="45">IF(L84,MIN(1,M84/L84),"")</f>
        <v>0.5</v>
      </c>
      <c r="O84" s="1305"/>
      <c r="P84" s="1305"/>
      <c r="Q84" s="165"/>
      <c r="R84" s="257"/>
      <c r="T84" s="466" t="s">
        <v>812</v>
      </c>
      <c r="U84" s="497" t="s">
        <v>813</v>
      </c>
      <c r="W84" s="500" t="s">
        <v>412</v>
      </c>
      <c r="X84" s="501" t="s">
        <v>412</v>
      </c>
      <c r="Y84" s="501" t="s">
        <v>412</v>
      </c>
      <c r="Z84" s="502" t="s">
        <v>412</v>
      </c>
      <c r="AA84" s="503" t="s">
        <v>412</v>
      </c>
      <c r="AB84" s="501" t="s">
        <v>412</v>
      </c>
      <c r="AC84" s="501" t="s">
        <v>814</v>
      </c>
      <c r="AD84" s="501" t="s">
        <v>412</v>
      </c>
      <c r="AE84" s="504" t="s">
        <v>792</v>
      </c>
      <c r="AF84" s="505" t="s">
        <v>585</v>
      </c>
      <c r="AG84" s="498" t="s">
        <v>815</v>
      </c>
      <c r="AH84" s="499" t="s">
        <v>587</v>
      </c>
    </row>
    <row r="85" spans="1:34" ht="30.65" customHeight="1">
      <c r="A85" s="1303"/>
      <c r="B85" s="167">
        <f>B84+1</f>
        <v>197</v>
      </c>
      <c r="C85" s="170" t="s">
        <v>334</v>
      </c>
      <c r="D85" s="177" t="s">
        <v>595</v>
      </c>
      <c r="E85" s="408"/>
      <c r="F85" s="408"/>
      <c r="G85" s="61"/>
      <c r="H85" s="60"/>
      <c r="I85" s="356">
        <v>78125</v>
      </c>
      <c r="J85" s="183"/>
      <c r="K85" s="171" t="s">
        <v>689</v>
      </c>
      <c r="L85" s="1125">
        <v>10</v>
      </c>
      <c r="M85" s="58">
        <v>10</v>
      </c>
      <c r="N85" s="109">
        <f t="shared" si="45"/>
        <v>1</v>
      </c>
      <c r="O85" s="1305"/>
      <c r="P85" s="1305"/>
      <c r="Q85" s="165"/>
      <c r="R85" s="257"/>
      <c r="T85" s="466" t="s">
        <v>816</v>
      </c>
      <c r="U85" s="497" t="s">
        <v>817</v>
      </c>
      <c r="W85" s="500" t="s">
        <v>585</v>
      </c>
      <c r="X85" s="501" t="s">
        <v>585</v>
      </c>
      <c r="Y85" s="501" t="s">
        <v>585</v>
      </c>
      <c r="Z85" s="502" t="s">
        <v>585</v>
      </c>
      <c r="AA85" s="503" t="s">
        <v>818</v>
      </c>
      <c r="AB85" s="501" t="s">
        <v>585</v>
      </c>
      <c r="AC85" s="501" t="s">
        <v>585</v>
      </c>
      <c r="AD85" s="501" t="s">
        <v>585</v>
      </c>
      <c r="AE85" s="504" t="s">
        <v>819</v>
      </c>
      <c r="AF85" s="505" t="s">
        <v>585</v>
      </c>
      <c r="AG85" s="498" t="s">
        <v>820</v>
      </c>
      <c r="AH85" s="499" t="s">
        <v>587</v>
      </c>
    </row>
    <row r="86" spans="1:34" ht="42" customHeight="1">
      <c r="A86" s="1348"/>
      <c r="B86" s="167">
        <f t="shared" ref="B86:B87" si="46">B85+1</f>
        <v>198</v>
      </c>
      <c r="C86" s="170" t="s">
        <v>335</v>
      </c>
      <c r="D86" s="177" t="s">
        <v>595</v>
      </c>
      <c r="E86" s="408"/>
      <c r="F86" s="408"/>
      <c r="G86" s="408"/>
      <c r="H86" s="60"/>
      <c r="I86" s="356">
        <v>62500</v>
      </c>
      <c r="J86" s="183"/>
      <c r="K86" s="171" t="s">
        <v>504</v>
      </c>
      <c r="L86" s="1125">
        <v>4</v>
      </c>
      <c r="M86" s="58">
        <v>1</v>
      </c>
      <c r="N86" s="109">
        <f t="shared" si="45"/>
        <v>0.25</v>
      </c>
      <c r="O86" s="1305"/>
      <c r="P86" s="1305"/>
      <c r="Q86" s="165"/>
      <c r="R86" s="257"/>
      <c r="T86" s="466" t="s">
        <v>821</v>
      </c>
      <c r="U86" s="497" t="s">
        <v>822</v>
      </c>
      <c r="W86" s="500" t="s">
        <v>412</v>
      </c>
      <c r="X86" s="501" t="s">
        <v>412</v>
      </c>
      <c r="Y86" s="501" t="s">
        <v>412</v>
      </c>
      <c r="Z86" s="502" t="s">
        <v>412</v>
      </c>
      <c r="AA86" s="503" t="s">
        <v>412</v>
      </c>
      <c r="AB86" s="501" t="s">
        <v>585</v>
      </c>
      <c r="AC86" s="501" t="s">
        <v>585</v>
      </c>
      <c r="AD86" s="501" t="s">
        <v>412</v>
      </c>
      <c r="AE86" s="504" t="s">
        <v>819</v>
      </c>
      <c r="AF86" s="505" t="s">
        <v>585</v>
      </c>
      <c r="AG86" s="498" t="s">
        <v>823</v>
      </c>
      <c r="AH86" s="499" t="s">
        <v>587</v>
      </c>
    </row>
    <row r="87" spans="1:34" ht="30.65" customHeight="1">
      <c r="A87" s="1348"/>
      <c r="B87" s="167">
        <f t="shared" si="46"/>
        <v>199</v>
      </c>
      <c r="C87" s="170" t="s">
        <v>336</v>
      </c>
      <c r="D87" s="178" t="s">
        <v>588</v>
      </c>
      <c r="E87" s="61"/>
      <c r="F87" s="408"/>
      <c r="G87" s="408"/>
      <c r="H87" s="60"/>
      <c r="I87" s="356">
        <v>3906</v>
      </c>
      <c r="J87" s="184"/>
      <c r="K87" s="171" t="s">
        <v>824</v>
      </c>
      <c r="L87" s="1125">
        <v>1</v>
      </c>
      <c r="M87" s="58">
        <v>0</v>
      </c>
      <c r="N87" s="109">
        <f t="shared" si="45"/>
        <v>0</v>
      </c>
      <c r="O87" s="1305"/>
      <c r="P87" s="1305"/>
      <c r="Q87" s="165"/>
      <c r="R87" s="257"/>
      <c r="T87" s="466" t="s">
        <v>825</v>
      </c>
      <c r="U87" s="497" t="s">
        <v>826</v>
      </c>
      <c r="W87" s="500" t="s">
        <v>412</v>
      </c>
      <c r="X87" s="501" t="s">
        <v>412</v>
      </c>
      <c r="Y87" s="501" t="s">
        <v>412</v>
      </c>
      <c r="Z87" s="502" t="s">
        <v>412</v>
      </c>
      <c r="AA87" s="503" t="s">
        <v>412</v>
      </c>
      <c r="AB87" s="501" t="s">
        <v>585</v>
      </c>
      <c r="AC87" s="501" t="s">
        <v>585</v>
      </c>
      <c r="AD87" s="501" t="s">
        <v>412</v>
      </c>
      <c r="AE87" s="504" t="s">
        <v>819</v>
      </c>
      <c r="AF87" s="505" t="s">
        <v>585</v>
      </c>
      <c r="AG87" s="498" t="s">
        <v>823</v>
      </c>
      <c r="AH87" s="499" t="s">
        <v>587</v>
      </c>
    </row>
    <row r="88" spans="1:34">
      <c r="A88" s="1348"/>
      <c r="B88" s="65"/>
      <c r="C88" s="81"/>
      <c r="D88" s="120"/>
      <c r="E88" s="67"/>
      <c r="F88" s="67"/>
      <c r="G88" s="67"/>
      <c r="H88" s="66"/>
      <c r="I88" s="359">
        <f t="shared" ref="I88" si="47">SUM(I84:I87)</f>
        <v>152344</v>
      </c>
      <c r="J88" s="139"/>
      <c r="K88" s="111"/>
      <c r="L88" s="440">
        <f>SUM(L84:L87)</f>
        <v>17</v>
      </c>
      <c r="M88" s="443">
        <f>SUM(M84:M87)</f>
        <v>12</v>
      </c>
      <c r="N88" s="444">
        <f>IFERROR(AVERAGE(N84:N87),"")</f>
        <v>0.4375</v>
      </c>
      <c r="O88" s="444" t="str" cm="1">
        <f t="array" aca="1" ref="O88" ca="1">IFERROR(AVRAGE(N73:N76,N78:N82,N84:N87),"")</f>
        <v/>
      </c>
      <c r="P88" s="1305"/>
      <c r="Q88" s="352">
        <f>SUM(Q84:Q87)</f>
        <v>0</v>
      </c>
      <c r="R88" s="70">
        <f>SUM(R84:R87)</f>
        <v>0</v>
      </c>
      <c r="T88" s="68"/>
      <c r="U88" s="469"/>
      <c r="W88" s="478"/>
      <c r="X88" s="67"/>
      <c r="Y88" s="67"/>
      <c r="Z88" s="67"/>
      <c r="AA88" s="67"/>
      <c r="AB88" s="67"/>
      <c r="AC88" s="67"/>
      <c r="AD88" s="67"/>
      <c r="AE88" s="67"/>
      <c r="AF88" s="67"/>
      <c r="AG88" s="67"/>
      <c r="AH88" s="467"/>
    </row>
    <row r="89" spans="1:34" ht="30.75" customHeight="1">
      <c r="A89" s="360" t="s">
        <v>337</v>
      </c>
      <c r="B89" s="361"/>
      <c r="C89" s="361"/>
      <c r="D89" s="362"/>
      <c r="E89" s="363" t="s">
        <v>248</v>
      </c>
      <c r="F89" s="364" t="s">
        <v>249</v>
      </c>
      <c r="G89" s="364" t="s">
        <v>250</v>
      </c>
      <c r="H89" s="365" t="s">
        <v>251</v>
      </c>
      <c r="I89" s="389">
        <f t="shared" ref="I89" si="48">I93+I98</f>
        <v>133874.75</v>
      </c>
      <c r="J89" s="366"/>
      <c r="K89" s="367"/>
      <c r="L89" s="368"/>
      <c r="M89" s="369"/>
      <c r="N89" s="370"/>
      <c r="O89" s="371"/>
      <c r="P89" s="1305"/>
      <c r="Q89" s="373">
        <f t="shared" ref="Q89:R89" si="49">Q93+Q98</f>
        <v>0</v>
      </c>
      <c r="R89" s="374">
        <f t="shared" si="49"/>
        <v>0</v>
      </c>
      <c r="T89" s="464" t="s">
        <v>337</v>
      </c>
      <c r="U89" s="465"/>
      <c r="W89" s="464" t="s">
        <v>337</v>
      </c>
      <c r="X89" s="458"/>
      <c r="Y89" s="458"/>
      <c r="Z89" s="458"/>
      <c r="AA89" s="458"/>
      <c r="AB89" s="458"/>
      <c r="AC89" s="458"/>
      <c r="AD89" s="458"/>
      <c r="AE89" s="458"/>
      <c r="AF89" s="458"/>
      <c r="AG89" s="458"/>
      <c r="AH89" s="465"/>
    </row>
    <row r="90" spans="1:34" ht="30.65" customHeight="1">
      <c r="A90" s="1347" t="s">
        <v>338</v>
      </c>
      <c r="B90" s="167">
        <f>B87+1</f>
        <v>200</v>
      </c>
      <c r="C90" s="170" t="s">
        <v>339</v>
      </c>
      <c r="D90" s="176" t="s">
        <v>595</v>
      </c>
      <c r="E90" s="408"/>
      <c r="F90" s="408"/>
      <c r="G90" s="408"/>
      <c r="H90" s="60"/>
      <c r="I90" s="356">
        <v>31250</v>
      </c>
      <c r="J90" s="182"/>
      <c r="K90" s="171" t="s">
        <v>827</v>
      </c>
      <c r="L90" s="1125">
        <v>100</v>
      </c>
      <c r="M90" s="58">
        <v>91</v>
      </c>
      <c r="N90" s="109">
        <f t="shared" ref="N90:N92" si="50">IF(L90,MIN(1,M90/L90),"")</f>
        <v>0.91</v>
      </c>
      <c r="O90" s="1340"/>
      <c r="P90" s="1305"/>
      <c r="Q90" s="165"/>
      <c r="R90" s="257"/>
      <c r="T90" s="466" t="s">
        <v>828</v>
      </c>
      <c r="U90" s="497" t="s">
        <v>829</v>
      </c>
      <c r="W90" s="500" t="s">
        <v>412</v>
      </c>
      <c r="X90" s="501" t="s">
        <v>412</v>
      </c>
      <c r="Y90" s="501" t="s">
        <v>412</v>
      </c>
      <c r="Z90" s="502" t="s">
        <v>412</v>
      </c>
      <c r="AA90" s="503" t="s">
        <v>412</v>
      </c>
      <c r="AB90" s="501" t="s">
        <v>412</v>
      </c>
      <c r="AC90" s="501" t="s">
        <v>412</v>
      </c>
      <c r="AD90" s="501" t="s">
        <v>412</v>
      </c>
      <c r="AE90" s="504" t="s">
        <v>412</v>
      </c>
      <c r="AF90" s="505" t="s">
        <v>585</v>
      </c>
      <c r="AG90" s="498" t="s">
        <v>830</v>
      </c>
      <c r="AH90" s="499" t="s">
        <v>587</v>
      </c>
    </row>
    <row r="91" spans="1:34" ht="30.65" customHeight="1">
      <c r="A91" s="1303"/>
      <c r="B91" s="167">
        <f>B90+1</f>
        <v>201</v>
      </c>
      <c r="C91" s="170" t="s">
        <v>340</v>
      </c>
      <c r="D91" s="177" t="s">
        <v>78</v>
      </c>
      <c r="E91" s="408"/>
      <c r="F91" s="408"/>
      <c r="G91" s="61"/>
      <c r="H91" s="60"/>
      <c r="I91" s="356">
        <v>4500</v>
      </c>
      <c r="J91" s="183"/>
      <c r="K91" s="171" t="s">
        <v>699</v>
      </c>
      <c r="L91" s="1125">
        <v>1</v>
      </c>
      <c r="M91" s="58">
        <v>0</v>
      </c>
      <c r="N91" s="109">
        <f t="shared" si="50"/>
        <v>0</v>
      </c>
      <c r="O91" s="1341"/>
      <c r="P91" s="1305"/>
      <c r="Q91" s="165"/>
      <c r="R91" s="257"/>
      <c r="T91" s="466" t="s">
        <v>831</v>
      </c>
      <c r="U91" s="497" t="s">
        <v>832</v>
      </c>
      <c r="W91" s="500" t="s">
        <v>412</v>
      </c>
      <c r="X91" s="501" t="s">
        <v>412</v>
      </c>
      <c r="Y91" s="501" t="s">
        <v>412</v>
      </c>
      <c r="Z91" s="502" t="s">
        <v>412</v>
      </c>
      <c r="AA91" s="503" t="s">
        <v>412</v>
      </c>
      <c r="AB91" s="501" t="s">
        <v>412</v>
      </c>
      <c r="AC91" s="501" t="s">
        <v>412</v>
      </c>
      <c r="AD91" s="501" t="s">
        <v>412</v>
      </c>
      <c r="AE91" s="504" t="s">
        <v>412</v>
      </c>
      <c r="AF91" s="505" t="s">
        <v>585</v>
      </c>
      <c r="AG91" s="498" t="s">
        <v>810</v>
      </c>
      <c r="AH91" s="499" t="s">
        <v>587</v>
      </c>
    </row>
    <row r="92" spans="1:34" ht="30.65" customHeight="1">
      <c r="A92" s="1348"/>
      <c r="B92" s="167">
        <f>B91+1</f>
        <v>202</v>
      </c>
      <c r="C92" s="170" t="s">
        <v>341</v>
      </c>
      <c r="D92" s="126" t="s">
        <v>595</v>
      </c>
      <c r="E92" s="408"/>
      <c r="F92" s="408"/>
      <c r="G92" s="61"/>
      <c r="H92" s="60"/>
      <c r="I92" s="356">
        <v>77968.75</v>
      </c>
      <c r="J92" s="183"/>
      <c r="K92" s="171" t="s">
        <v>505</v>
      </c>
      <c r="L92" s="1125">
        <v>2</v>
      </c>
      <c r="M92" s="58">
        <v>0</v>
      </c>
      <c r="N92" s="109">
        <f t="shared" si="50"/>
        <v>0</v>
      </c>
      <c r="O92" s="1341"/>
      <c r="P92" s="1305"/>
      <c r="Q92" s="165"/>
      <c r="R92" s="257"/>
      <c r="T92" s="466" t="s">
        <v>833</v>
      </c>
      <c r="U92" s="497" t="s">
        <v>834</v>
      </c>
      <c r="W92" s="500" t="s">
        <v>412</v>
      </c>
      <c r="X92" s="501" t="s">
        <v>412</v>
      </c>
      <c r="Y92" s="501" t="s">
        <v>412</v>
      </c>
      <c r="Z92" s="502" t="s">
        <v>412</v>
      </c>
      <c r="AA92" s="503" t="s">
        <v>412</v>
      </c>
      <c r="AB92" s="501" t="s">
        <v>412</v>
      </c>
      <c r="AC92" s="501" t="s">
        <v>412</v>
      </c>
      <c r="AD92" s="501" t="s">
        <v>412</v>
      </c>
      <c r="AE92" s="504" t="s">
        <v>412</v>
      </c>
      <c r="AF92" s="505" t="s">
        <v>585</v>
      </c>
      <c r="AG92" s="498" t="s">
        <v>820</v>
      </c>
      <c r="AH92" s="499" t="s">
        <v>587</v>
      </c>
    </row>
    <row r="93" spans="1:34">
      <c r="A93" s="1348"/>
      <c r="B93" s="65"/>
      <c r="C93" s="81"/>
      <c r="D93" s="120"/>
      <c r="E93" s="67"/>
      <c r="F93" s="67"/>
      <c r="G93" s="67"/>
      <c r="H93" s="66"/>
      <c r="I93" s="359">
        <f>SUM(I90:I92)</f>
        <v>113718.75</v>
      </c>
      <c r="J93" s="139"/>
      <c r="K93" s="111"/>
      <c r="L93" s="440">
        <f>SUM(L90:L92)</f>
        <v>103</v>
      </c>
      <c r="M93" s="443">
        <f>SUM(M90:M92)</f>
        <v>91</v>
      </c>
      <c r="N93" s="444">
        <f>IFERROR(AVERAGE(N90:N92),"")</f>
        <v>0.30333333333333334</v>
      </c>
      <c r="O93" s="1341"/>
      <c r="P93" s="1305"/>
      <c r="Q93" s="352">
        <f>SUM(Q90:Q92)</f>
        <v>0</v>
      </c>
      <c r="R93" s="70">
        <f>SUM(R90:R92)</f>
        <v>0</v>
      </c>
      <c r="T93" s="472" t="s">
        <v>835</v>
      </c>
      <c r="U93" s="473"/>
      <c r="W93" s="478"/>
      <c r="X93" s="67"/>
      <c r="Y93" s="67"/>
      <c r="Z93" s="67"/>
      <c r="AA93" s="67"/>
      <c r="AB93" s="67"/>
      <c r="AC93" s="67"/>
      <c r="AD93" s="67"/>
      <c r="AE93" s="67"/>
      <c r="AF93" s="67"/>
      <c r="AG93" s="67"/>
      <c r="AH93" s="467"/>
    </row>
    <row r="94" spans="1:34" ht="30.65" customHeight="1">
      <c r="A94" s="1347" t="s">
        <v>342</v>
      </c>
      <c r="B94" s="167">
        <f>B81+1</f>
        <v>203</v>
      </c>
      <c r="C94" s="170" t="s">
        <v>343</v>
      </c>
      <c r="D94" s="176" t="s">
        <v>582</v>
      </c>
      <c r="E94" s="408"/>
      <c r="F94" s="61"/>
      <c r="G94" s="61"/>
      <c r="H94" s="60"/>
      <c r="I94" s="356">
        <v>3906</v>
      </c>
      <c r="J94" s="182"/>
      <c r="K94" s="171" t="s">
        <v>502</v>
      </c>
      <c r="L94" s="1125">
        <v>1</v>
      </c>
      <c r="M94" s="58">
        <v>0</v>
      </c>
      <c r="N94" s="109">
        <f t="shared" ref="N94:N97" si="51">IF(L94,MIN(1,M94/L94),"")</f>
        <v>0</v>
      </c>
      <c r="O94" s="1341"/>
      <c r="P94" s="1305"/>
      <c r="Q94" s="165"/>
      <c r="R94" s="257"/>
      <c r="T94" s="466" t="s">
        <v>836</v>
      </c>
      <c r="U94" s="497" t="s">
        <v>837</v>
      </c>
      <c r="W94" s="500" t="s">
        <v>412</v>
      </c>
      <c r="X94" s="501" t="s">
        <v>412</v>
      </c>
      <c r="Y94" s="501" t="s">
        <v>412</v>
      </c>
      <c r="Z94" s="502" t="s">
        <v>412</v>
      </c>
      <c r="AA94" s="503" t="s">
        <v>412</v>
      </c>
      <c r="AB94" s="501" t="s">
        <v>412</v>
      </c>
      <c r="AC94" s="501" t="s">
        <v>412</v>
      </c>
      <c r="AD94" s="501" t="s">
        <v>412</v>
      </c>
      <c r="AE94" s="504" t="s">
        <v>412</v>
      </c>
      <c r="AF94" s="505" t="s">
        <v>617</v>
      </c>
      <c r="AG94" s="498" t="s">
        <v>838</v>
      </c>
      <c r="AH94" s="499" t="s">
        <v>587</v>
      </c>
    </row>
    <row r="95" spans="1:34" ht="30.65" customHeight="1">
      <c r="A95" s="1303"/>
      <c r="B95" s="167">
        <f>B94+1</f>
        <v>204</v>
      </c>
      <c r="C95" s="170" t="s">
        <v>344</v>
      </c>
      <c r="D95" s="177" t="s">
        <v>588</v>
      </c>
      <c r="E95" s="61"/>
      <c r="F95" s="408"/>
      <c r="G95" s="408"/>
      <c r="H95" s="60"/>
      <c r="I95" s="356">
        <v>9375</v>
      </c>
      <c r="J95" s="183"/>
      <c r="K95" s="171" t="s">
        <v>719</v>
      </c>
      <c r="L95" s="1125">
        <v>4</v>
      </c>
      <c r="M95" s="58">
        <v>0</v>
      </c>
      <c r="N95" s="109">
        <f t="shared" si="51"/>
        <v>0</v>
      </c>
      <c r="O95" s="1341"/>
      <c r="P95" s="1305"/>
      <c r="Q95" s="165"/>
      <c r="R95" s="257"/>
      <c r="T95" s="466" t="s">
        <v>839</v>
      </c>
      <c r="U95" s="497" t="s">
        <v>840</v>
      </c>
      <c r="W95" s="500" t="s">
        <v>412</v>
      </c>
      <c r="X95" s="501" t="s">
        <v>412</v>
      </c>
      <c r="Y95" s="501" t="s">
        <v>412</v>
      </c>
      <c r="Z95" s="502" t="s">
        <v>412</v>
      </c>
      <c r="AA95" s="503" t="s">
        <v>841</v>
      </c>
      <c r="AB95" s="501" t="s">
        <v>412</v>
      </c>
      <c r="AC95" s="501" t="s">
        <v>412</v>
      </c>
      <c r="AD95" s="501" t="s">
        <v>412</v>
      </c>
      <c r="AE95" s="504" t="s">
        <v>412</v>
      </c>
      <c r="AF95" s="505" t="s">
        <v>585</v>
      </c>
      <c r="AG95" s="498" t="s">
        <v>842</v>
      </c>
      <c r="AH95" s="499" t="s">
        <v>587</v>
      </c>
    </row>
    <row r="96" spans="1:34" ht="30.65" customHeight="1">
      <c r="A96" s="1348"/>
      <c r="B96" s="167">
        <f t="shared" ref="B96:B97" si="52">B95+1</f>
        <v>205</v>
      </c>
      <c r="C96" s="170" t="s">
        <v>345</v>
      </c>
      <c r="D96" s="126" t="s">
        <v>588</v>
      </c>
      <c r="E96" s="408"/>
      <c r="F96" s="408"/>
      <c r="G96" s="61"/>
      <c r="H96" s="60"/>
      <c r="I96" s="356">
        <v>3125</v>
      </c>
      <c r="J96" s="183"/>
      <c r="K96" s="171" t="s">
        <v>843</v>
      </c>
      <c r="L96" s="1125">
        <v>2</v>
      </c>
      <c r="M96" s="58">
        <v>1</v>
      </c>
      <c r="N96" s="109">
        <f t="shared" si="51"/>
        <v>0.5</v>
      </c>
      <c r="O96" s="1341"/>
      <c r="P96" s="1305"/>
      <c r="Q96" s="165"/>
      <c r="R96" s="257"/>
      <c r="T96" s="466" t="s">
        <v>844</v>
      </c>
      <c r="U96" s="497" t="s">
        <v>845</v>
      </c>
      <c r="W96" s="500" t="s">
        <v>412</v>
      </c>
      <c r="X96" s="501" t="s">
        <v>412</v>
      </c>
      <c r="Y96" s="501" t="s">
        <v>412</v>
      </c>
      <c r="Z96" s="502" t="s">
        <v>412</v>
      </c>
      <c r="AA96" s="503" t="s">
        <v>412</v>
      </c>
      <c r="AB96" s="501" t="s">
        <v>412</v>
      </c>
      <c r="AC96" s="501" t="s">
        <v>412</v>
      </c>
      <c r="AD96" s="501" t="s">
        <v>412</v>
      </c>
      <c r="AE96" s="504" t="s">
        <v>412</v>
      </c>
      <c r="AF96" s="505" t="s">
        <v>585</v>
      </c>
      <c r="AG96" s="498" t="s">
        <v>807</v>
      </c>
      <c r="AH96" s="499" t="s">
        <v>587</v>
      </c>
    </row>
    <row r="97" spans="1:34" ht="30.65" customHeight="1">
      <c r="A97" s="1348"/>
      <c r="B97" s="167">
        <f t="shared" si="52"/>
        <v>206</v>
      </c>
      <c r="C97" s="170" t="s">
        <v>346</v>
      </c>
      <c r="D97" s="127" t="s">
        <v>595</v>
      </c>
      <c r="E97" s="408"/>
      <c r="F97" s="408"/>
      <c r="G97" s="408"/>
      <c r="H97" s="408"/>
      <c r="I97" s="356">
        <v>3750</v>
      </c>
      <c r="J97" s="184"/>
      <c r="K97" s="171" t="s">
        <v>608</v>
      </c>
      <c r="L97" s="1125">
        <v>12</v>
      </c>
      <c r="M97" s="58">
        <v>12</v>
      </c>
      <c r="N97" s="109">
        <f t="shared" si="51"/>
        <v>1</v>
      </c>
      <c r="O97" s="1341"/>
      <c r="P97" s="1305"/>
      <c r="Q97" s="165"/>
      <c r="R97" s="257"/>
      <c r="T97" s="466" t="s">
        <v>846</v>
      </c>
      <c r="U97" s="497" t="s">
        <v>847</v>
      </c>
      <c r="W97" s="500" t="s">
        <v>412</v>
      </c>
      <c r="X97" s="501" t="s">
        <v>412</v>
      </c>
      <c r="Y97" s="501" t="s">
        <v>412</v>
      </c>
      <c r="Z97" s="502" t="s">
        <v>412</v>
      </c>
      <c r="AA97" s="503" t="s">
        <v>412</v>
      </c>
      <c r="AB97" s="501" t="s">
        <v>412</v>
      </c>
      <c r="AC97" s="501" t="s">
        <v>412</v>
      </c>
      <c r="AD97" s="501" t="s">
        <v>412</v>
      </c>
      <c r="AE97" s="504" t="s">
        <v>412</v>
      </c>
      <c r="AF97" s="505" t="s">
        <v>585</v>
      </c>
      <c r="AG97" s="498" t="s">
        <v>807</v>
      </c>
      <c r="AH97" s="499" t="s">
        <v>587</v>
      </c>
    </row>
    <row r="98" spans="1:34">
      <c r="A98" s="1348"/>
      <c r="B98" s="65"/>
      <c r="C98" s="81"/>
      <c r="D98" s="120"/>
      <c r="E98" s="67"/>
      <c r="F98" s="67"/>
      <c r="G98" s="67"/>
      <c r="H98" s="66"/>
      <c r="I98" s="359">
        <f t="shared" ref="I98" si="53">SUM(I94:I97)</f>
        <v>20156</v>
      </c>
      <c r="J98" s="139"/>
      <c r="K98" s="442"/>
      <c r="L98" s="440">
        <f>SUM(L94:L97)</f>
        <v>19</v>
      </c>
      <c r="M98" s="443">
        <f>SUM(M94:M97)</f>
        <v>13</v>
      </c>
      <c r="N98" s="444">
        <f>IFERROR(AVERAGE(N94:N97),"")</f>
        <v>0.375</v>
      </c>
      <c r="O98" s="444">
        <f>IFERROR(AVERAGE(N90:N92,N94:N97),"")</f>
        <v>0.34428571428571431</v>
      </c>
      <c r="P98" s="444">
        <f>IFERROR(AVERAGE(N50:N55,N57:N62,N64:N70,N73:N76,N78:N82,N84:N87,N90:N92,N94:N97),"")</f>
        <v>0.5754954954954955</v>
      </c>
      <c r="Q98" s="352">
        <f>SUM(Q94:Q97)</f>
        <v>0</v>
      </c>
      <c r="R98" s="70">
        <f>SUM(R94:R97)</f>
        <v>0</v>
      </c>
      <c r="T98" s="68"/>
      <c r="U98" s="469"/>
      <c r="W98" s="478"/>
      <c r="X98" s="67"/>
      <c r="Y98" s="67"/>
      <c r="Z98" s="67"/>
      <c r="AA98" s="67"/>
      <c r="AB98" s="67"/>
      <c r="AC98" s="67"/>
      <c r="AD98" s="67"/>
      <c r="AE98" s="67"/>
      <c r="AF98" s="67"/>
      <c r="AG98" s="67"/>
      <c r="AH98" s="467"/>
    </row>
    <row r="99" spans="1:34" ht="69.75" customHeight="1">
      <c r="A99" s="339" t="s">
        <v>205</v>
      </c>
      <c r="B99" s="340"/>
      <c r="C99" s="340"/>
      <c r="D99" s="340"/>
      <c r="E99" s="340"/>
      <c r="F99" s="340"/>
      <c r="G99" s="340"/>
      <c r="H99" s="341"/>
      <c r="I99" s="387">
        <f>I100+I111+I122</f>
        <v>253401</v>
      </c>
      <c r="J99" s="342"/>
      <c r="K99" s="343"/>
      <c r="L99" s="344"/>
      <c r="M99" s="345"/>
      <c r="N99" s="346"/>
      <c r="O99" s="346"/>
      <c r="P99" s="347"/>
      <c r="Q99" s="350">
        <f t="shared" ref="Q99:R99" si="54">Q100+Q111+Q122</f>
        <v>0</v>
      </c>
      <c r="R99" s="348">
        <f t="shared" si="54"/>
        <v>0</v>
      </c>
      <c r="T99" s="462" t="s">
        <v>205</v>
      </c>
      <c r="U99" s="463"/>
      <c r="W99" s="474" t="s">
        <v>205</v>
      </c>
      <c r="X99" s="475"/>
      <c r="Y99" s="475"/>
      <c r="Z99" s="475"/>
      <c r="AA99" s="475"/>
      <c r="AB99" s="475"/>
      <c r="AC99" s="475"/>
      <c r="AD99" s="475"/>
      <c r="AE99" s="475"/>
      <c r="AF99" s="475"/>
      <c r="AG99" s="475"/>
      <c r="AH99" s="476"/>
    </row>
    <row r="100" spans="1:34" ht="30.65" customHeight="1">
      <c r="A100" s="360" t="s">
        <v>347</v>
      </c>
      <c r="B100" s="361"/>
      <c r="C100" s="361"/>
      <c r="D100" s="362"/>
      <c r="E100" s="363" t="s">
        <v>248</v>
      </c>
      <c r="F100" s="364" t="s">
        <v>249</v>
      </c>
      <c r="G100" s="364" t="s">
        <v>250</v>
      </c>
      <c r="H100" s="365" t="s">
        <v>251</v>
      </c>
      <c r="I100" s="389">
        <f t="shared" ref="I100" si="55">I104+I110</f>
        <v>127188</v>
      </c>
      <c r="J100" s="366"/>
      <c r="K100" s="367"/>
      <c r="L100" s="368"/>
      <c r="M100" s="369"/>
      <c r="N100" s="370"/>
      <c r="O100" s="371"/>
      <c r="P100" s="372"/>
      <c r="Q100" s="373">
        <f t="shared" ref="Q100:R100" si="56">Q104+Q110</f>
        <v>0</v>
      </c>
      <c r="R100" s="374">
        <f t="shared" si="56"/>
        <v>0</v>
      </c>
      <c r="T100" s="464" t="s">
        <v>848</v>
      </c>
      <c r="U100" s="465"/>
      <c r="W100" s="464" t="s">
        <v>848</v>
      </c>
      <c r="X100" s="458"/>
      <c r="Y100" s="458"/>
      <c r="Z100" s="458"/>
      <c r="AA100" s="458"/>
      <c r="AB100" s="458"/>
      <c r="AC100" s="458"/>
      <c r="AD100" s="458"/>
      <c r="AE100" s="458"/>
      <c r="AF100" s="458"/>
      <c r="AG100" s="458"/>
      <c r="AH100" s="465"/>
    </row>
    <row r="101" spans="1:34" ht="30.65" customHeight="1">
      <c r="A101" s="1301" t="s">
        <v>348</v>
      </c>
      <c r="B101" s="167">
        <f>B82+1</f>
        <v>204</v>
      </c>
      <c r="C101" s="170" t="s">
        <v>349</v>
      </c>
      <c r="D101" s="176" t="s">
        <v>582</v>
      </c>
      <c r="E101" s="408"/>
      <c r="F101" s="408"/>
      <c r="G101" s="408"/>
      <c r="H101" s="60"/>
      <c r="I101" s="356">
        <v>18750</v>
      </c>
      <c r="J101" s="182"/>
      <c r="K101" s="171" t="s">
        <v>849</v>
      </c>
      <c r="L101" s="1125">
        <v>48</v>
      </c>
      <c r="M101" s="58">
        <v>27</v>
      </c>
      <c r="N101" s="108">
        <f t="shared" ref="N101:N103" si="57">IF(L101,MIN(1,M101/L101),"")</f>
        <v>0.5625</v>
      </c>
      <c r="O101" s="1336"/>
      <c r="P101" s="1342"/>
      <c r="Q101" s="165"/>
      <c r="R101" s="257"/>
      <c r="T101" s="466" t="s">
        <v>850</v>
      </c>
      <c r="U101" s="497" t="s">
        <v>851</v>
      </c>
      <c r="W101" s="500" t="s">
        <v>412</v>
      </c>
      <c r="X101" s="501" t="s">
        <v>412</v>
      </c>
      <c r="Y101" s="501" t="s">
        <v>412</v>
      </c>
      <c r="Z101" s="502" t="s">
        <v>412</v>
      </c>
      <c r="AA101" s="503" t="s">
        <v>412</v>
      </c>
      <c r="AB101" s="501" t="s">
        <v>412</v>
      </c>
      <c r="AC101" s="501" t="s">
        <v>852</v>
      </c>
      <c r="AD101" s="501" t="s">
        <v>412</v>
      </c>
      <c r="AE101" s="504" t="s">
        <v>853</v>
      </c>
      <c r="AF101" s="505" t="s">
        <v>585</v>
      </c>
      <c r="AG101" s="498" t="s">
        <v>649</v>
      </c>
      <c r="AH101" s="499" t="s">
        <v>587</v>
      </c>
    </row>
    <row r="102" spans="1:34" ht="30.65" customHeight="1">
      <c r="A102" s="1310"/>
      <c r="B102" s="167">
        <f>B101+1</f>
        <v>205</v>
      </c>
      <c r="C102" s="170" t="s">
        <v>350</v>
      </c>
      <c r="D102" s="177" t="s">
        <v>582</v>
      </c>
      <c r="E102" s="61"/>
      <c r="F102" s="408"/>
      <c r="G102" s="61"/>
      <c r="H102" s="60"/>
      <c r="I102" s="356">
        <v>5469</v>
      </c>
      <c r="J102" s="183"/>
      <c r="K102" s="171" t="s">
        <v>843</v>
      </c>
      <c r="L102" s="1125">
        <v>2</v>
      </c>
      <c r="M102" s="58">
        <v>0</v>
      </c>
      <c r="N102" s="108">
        <f t="shared" si="57"/>
        <v>0</v>
      </c>
      <c r="O102" s="1337"/>
      <c r="P102" s="1343"/>
      <c r="Q102" s="165"/>
      <c r="R102" s="257"/>
      <c r="T102" s="466" t="s">
        <v>854</v>
      </c>
      <c r="U102" s="497" t="s">
        <v>855</v>
      </c>
      <c r="W102" s="500" t="s">
        <v>412</v>
      </c>
      <c r="X102" s="501" t="s">
        <v>412</v>
      </c>
      <c r="Y102" s="501" t="s">
        <v>412</v>
      </c>
      <c r="Z102" s="502" t="s">
        <v>412</v>
      </c>
      <c r="AA102" s="503" t="s">
        <v>412</v>
      </c>
      <c r="AB102" s="501" t="s">
        <v>412</v>
      </c>
      <c r="AC102" s="501" t="s">
        <v>412</v>
      </c>
      <c r="AD102" s="501" t="s">
        <v>412</v>
      </c>
      <c r="AE102" s="504" t="s">
        <v>412</v>
      </c>
      <c r="AF102" s="505" t="s">
        <v>746</v>
      </c>
      <c r="AG102" s="498" t="s">
        <v>856</v>
      </c>
      <c r="AH102" s="499" t="s">
        <v>587</v>
      </c>
    </row>
    <row r="103" spans="1:34" ht="30.65" customHeight="1">
      <c r="A103" s="1310"/>
      <c r="B103" s="167">
        <f>B102+1</f>
        <v>206</v>
      </c>
      <c r="C103" s="170" t="s">
        <v>351</v>
      </c>
      <c r="D103" s="178" t="s">
        <v>78</v>
      </c>
      <c r="E103" s="408"/>
      <c r="F103" s="408"/>
      <c r="G103" s="408"/>
      <c r="H103" s="408"/>
      <c r="I103" s="356">
        <v>781</v>
      </c>
      <c r="J103" s="184"/>
      <c r="K103" s="171" t="s">
        <v>857</v>
      </c>
      <c r="L103" s="1125">
        <v>1</v>
      </c>
      <c r="M103" s="58">
        <v>1</v>
      </c>
      <c r="N103" s="108">
        <f t="shared" si="57"/>
        <v>1</v>
      </c>
      <c r="O103" s="1337"/>
      <c r="P103" s="1343"/>
      <c r="Q103" s="165"/>
      <c r="R103" s="257"/>
      <c r="T103" s="466" t="s">
        <v>858</v>
      </c>
      <c r="U103" s="497" t="s">
        <v>859</v>
      </c>
      <c r="W103" s="500" t="s">
        <v>412</v>
      </c>
      <c r="X103" s="501" t="s">
        <v>412</v>
      </c>
      <c r="Y103" s="501" t="s">
        <v>412</v>
      </c>
      <c r="Z103" s="502" t="s">
        <v>412</v>
      </c>
      <c r="AA103" s="503" t="s">
        <v>412</v>
      </c>
      <c r="AB103" s="501" t="s">
        <v>412</v>
      </c>
      <c r="AC103" s="501" t="s">
        <v>412</v>
      </c>
      <c r="AD103" s="501" t="s">
        <v>412</v>
      </c>
      <c r="AE103" s="504" t="s">
        <v>412</v>
      </c>
      <c r="AF103" s="505" t="s">
        <v>585</v>
      </c>
      <c r="AG103" s="498" t="s">
        <v>860</v>
      </c>
      <c r="AH103" s="499" t="s">
        <v>587</v>
      </c>
    </row>
    <row r="104" spans="1:34">
      <c r="A104" s="1355"/>
      <c r="B104" s="65"/>
      <c r="C104" s="81"/>
      <c r="D104" s="120"/>
      <c r="E104" s="67"/>
      <c r="F104" s="67"/>
      <c r="G104" s="67"/>
      <c r="H104" s="66"/>
      <c r="I104" s="359">
        <f t="shared" ref="I104" si="58">SUM(I101:I103)</f>
        <v>25000</v>
      </c>
      <c r="J104" s="139"/>
      <c r="K104" s="442"/>
      <c r="L104" s="440">
        <f>SUM(L101:L103)</f>
        <v>51</v>
      </c>
      <c r="M104" s="443">
        <f>SUM(M101:M103)</f>
        <v>28</v>
      </c>
      <c r="N104" s="444">
        <f>IFERROR(AVERAGE(N101:N103),"")</f>
        <v>0.52083333333333337</v>
      </c>
      <c r="O104" s="1337"/>
      <c r="P104" s="1343"/>
      <c r="Q104" s="352">
        <f>SUM(Q101:Q103)</f>
        <v>0</v>
      </c>
      <c r="R104" s="70">
        <f>SUM(R101:R103)</f>
        <v>0</v>
      </c>
      <c r="T104" s="68"/>
      <c r="U104" s="469"/>
      <c r="W104" s="478"/>
      <c r="X104" s="67"/>
      <c r="Y104" s="67"/>
      <c r="Z104" s="67"/>
      <c r="AA104" s="67"/>
      <c r="AB104" s="67"/>
      <c r="AC104" s="67"/>
      <c r="AD104" s="67"/>
      <c r="AE104" s="67"/>
      <c r="AF104" s="67"/>
      <c r="AG104" s="67"/>
      <c r="AH104" s="467"/>
    </row>
    <row r="105" spans="1:34" ht="31.5" customHeight="1">
      <c r="A105" s="1301" t="s">
        <v>352</v>
      </c>
      <c r="B105" s="167">
        <f>B103+1</f>
        <v>207</v>
      </c>
      <c r="C105" s="170" t="s">
        <v>353</v>
      </c>
      <c r="D105" s="176" t="s">
        <v>595</v>
      </c>
      <c r="E105" s="408"/>
      <c r="F105" s="408"/>
      <c r="G105" s="408"/>
      <c r="H105" s="60"/>
      <c r="I105" s="356">
        <v>58594</v>
      </c>
      <c r="J105" s="182"/>
      <c r="K105" s="171" t="s">
        <v>861</v>
      </c>
      <c r="L105" s="1125">
        <v>30</v>
      </c>
      <c r="M105" s="58">
        <v>30</v>
      </c>
      <c r="N105" s="108">
        <f t="shared" ref="N105:N109" si="59">IF(L105,MIN(1,M105/L105),"")</f>
        <v>1</v>
      </c>
      <c r="O105" s="1337"/>
      <c r="P105" s="1343"/>
      <c r="Q105" s="165"/>
      <c r="R105" s="257"/>
      <c r="T105" s="466" t="s">
        <v>862</v>
      </c>
      <c r="U105" s="497" t="s">
        <v>863</v>
      </c>
      <c r="W105" s="500" t="s">
        <v>412</v>
      </c>
      <c r="X105" s="501" t="s">
        <v>412</v>
      </c>
      <c r="Y105" s="501" t="s">
        <v>412</v>
      </c>
      <c r="Z105" s="502" t="s">
        <v>412</v>
      </c>
      <c r="AA105" s="503" t="s">
        <v>412</v>
      </c>
      <c r="AB105" s="501" t="s">
        <v>412</v>
      </c>
      <c r="AC105" s="501" t="s">
        <v>412</v>
      </c>
      <c r="AD105" s="501" t="s">
        <v>412</v>
      </c>
      <c r="AE105" s="504" t="s">
        <v>412</v>
      </c>
      <c r="AF105" s="505" t="s">
        <v>585</v>
      </c>
      <c r="AG105" s="498" t="s">
        <v>864</v>
      </c>
      <c r="AH105" s="499" t="s">
        <v>587</v>
      </c>
    </row>
    <row r="106" spans="1:34" ht="31.5" customHeight="1">
      <c r="A106" s="1302"/>
      <c r="B106" s="167">
        <f>B105+1</f>
        <v>208</v>
      </c>
      <c r="C106" s="170" t="s">
        <v>354</v>
      </c>
      <c r="D106" s="177" t="s">
        <v>78</v>
      </c>
      <c r="E106" s="408"/>
      <c r="F106" s="408"/>
      <c r="G106" s="408"/>
      <c r="H106" s="408"/>
      <c r="I106" s="356">
        <v>18750</v>
      </c>
      <c r="J106" s="183"/>
      <c r="K106" s="171" t="s">
        <v>865</v>
      </c>
      <c r="L106" s="1125">
        <v>12</v>
      </c>
      <c r="M106" s="58">
        <v>8</v>
      </c>
      <c r="N106" s="108">
        <f t="shared" si="59"/>
        <v>0.66666666666666663</v>
      </c>
      <c r="O106" s="1337"/>
      <c r="P106" s="1343"/>
      <c r="Q106" s="165"/>
      <c r="R106" s="257"/>
      <c r="T106" s="466" t="s">
        <v>866</v>
      </c>
      <c r="U106" s="497" t="s">
        <v>867</v>
      </c>
      <c r="W106" s="500" t="s">
        <v>412</v>
      </c>
      <c r="X106" s="501" t="s">
        <v>412</v>
      </c>
      <c r="Y106" s="501" t="s">
        <v>585</v>
      </c>
      <c r="Z106" s="502" t="s">
        <v>412</v>
      </c>
      <c r="AA106" s="503" t="s">
        <v>868</v>
      </c>
      <c r="AB106" s="501" t="s">
        <v>412</v>
      </c>
      <c r="AC106" s="501" t="s">
        <v>412</v>
      </c>
      <c r="AD106" s="501" t="s">
        <v>412</v>
      </c>
      <c r="AE106" s="504" t="s">
        <v>412</v>
      </c>
      <c r="AF106" s="505" t="s">
        <v>585</v>
      </c>
      <c r="AG106" s="498" t="s">
        <v>869</v>
      </c>
      <c r="AH106" s="499" t="s">
        <v>587</v>
      </c>
    </row>
    <row r="107" spans="1:34" ht="31.5" customHeight="1">
      <c r="A107" s="1302"/>
      <c r="B107" s="167">
        <f t="shared" ref="B107:B109" si="60">B106+1</f>
        <v>209</v>
      </c>
      <c r="C107" s="170" t="s">
        <v>355</v>
      </c>
      <c r="D107" s="177" t="s">
        <v>588</v>
      </c>
      <c r="E107" s="408"/>
      <c r="F107" s="408"/>
      <c r="G107" s="408"/>
      <c r="H107" s="408"/>
      <c r="I107" s="356">
        <v>13125</v>
      </c>
      <c r="J107" s="183"/>
      <c r="K107" s="171" t="s">
        <v>870</v>
      </c>
      <c r="L107" s="1125">
        <v>8</v>
      </c>
      <c r="M107" s="58">
        <v>8</v>
      </c>
      <c r="N107" s="108">
        <f t="shared" si="59"/>
        <v>1</v>
      </c>
      <c r="O107" s="1337"/>
      <c r="P107" s="1343"/>
      <c r="Q107" s="165"/>
      <c r="R107" s="257"/>
      <c r="T107" s="466" t="s">
        <v>871</v>
      </c>
      <c r="U107" s="497" t="s">
        <v>872</v>
      </c>
      <c r="W107" s="500" t="s">
        <v>412</v>
      </c>
      <c r="X107" s="501" t="s">
        <v>412</v>
      </c>
      <c r="Y107" s="501" t="s">
        <v>412</v>
      </c>
      <c r="Z107" s="502" t="s">
        <v>412</v>
      </c>
      <c r="AA107" s="503" t="s">
        <v>412</v>
      </c>
      <c r="AB107" s="501" t="s">
        <v>412</v>
      </c>
      <c r="AC107" s="501" t="s">
        <v>585</v>
      </c>
      <c r="AD107" s="501" t="s">
        <v>412</v>
      </c>
      <c r="AE107" s="504" t="s">
        <v>873</v>
      </c>
      <c r="AF107" s="505" t="s">
        <v>585</v>
      </c>
      <c r="AG107" s="498" t="s">
        <v>874</v>
      </c>
      <c r="AH107" s="499" t="s">
        <v>587</v>
      </c>
    </row>
    <row r="108" spans="1:34" ht="31.5" customHeight="1">
      <c r="A108" s="1310"/>
      <c r="B108" s="167">
        <f t="shared" si="60"/>
        <v>210</v>
      </c>
      <c r="C108" s="170" t="s">
        <v>356</v>
      </c>
      <c r="D108" s="177" t="s">
        <v>78</v>
      </c>
      <c r="E108" s="408"/>
      <c r="F108" s="408"/>
      <c r="G108" s="408"/>
      <c r="H108" s="60"/>
      <c r="I108" s="356">
        <v>3906</v>
      </c>
      <c r="J108" s="183"/>
      <c r="K108" s="171" t="s">
        <v>875</v>
      </c>
      <c r="L108" s="1125">
        <v>1</v>
      </c>
      <c r="M108" s="58">
        <v>1</v>
      </c>
      <c r="N108" s="108">
        <f t="shared" si="59"/>
        <v>1</v>
      </c>
      <c r="O108" s="1337"/>
      <c r="P108" s="1343"/>
      <c r="Q108" s="165"/>
      <c r="R108" s="257"/>
      <c r="T108" s="466" t="s">
        <v>876</v>
      </c>
      <c r="U108" s="497" t="s">
        <v>877</v>
      </c>
      <c r="W108" s="500" t="s">
        <v>412</v>
      </c>
      <c r="X108" s="501" t="s">
        <v>412</v>
      </c>
      <c r="Y108" s="501" t="s">
        <v>412</v>
      </c>
      <c r="Z108" s="502" t="s">
        <v>412</v>
      </c>
      <c r="AA108" s="503" t="s">
        <v>412</v>
      </c>
      <c r="AB108" s="501" t="s">
        <v>412</v>
      </c>
      <c r="AC108" s="501" t="s">
        <v>412</v>
      </c>
      <c r="AD108" s="501" t="s">
        <v>412</v>
      </c>
      <c r="AE108" s="504" t="s">
        <v>412</v>
      </c>
      <c r="AF108" s="505" t="s">
        <v>585</v>
      </c>
      <c r="AG108" s="498" t="s">
        <v>878</v>
      </c>
      <c r="AH108" s="499" t="s">
        <v>587</v>
      </c>
    </row>
    <row r="109" spans="1:34" ht="31.5" customHeight="1">
      <c r="A109" s="1310"/>
      <c r="B109" s="167">
        <f t="shared" si="60"/>
        <v>211</v>
      </c>
      <c r="C109" s="170" t="s">
        <v>357</v>
      </c>
      <c r="D109" s="178" t="s">
        <v>78</v>
      </c>
      <c r="E109" s="408"/>
      <c r="F109" s="408"/>
      <c r="G109" s="61"/>
      <c r="H109" s="60"/>
      <c r="I109" s="356">
        <v>7813</v>
      </c>
      <c r="J109" s="184"/>
      <c r="K109" s="171" t="s">
        <v>879</v>
      </c>
      <c r="L109" s="1125">
        <v>10</v>
      </c>
      <c r="M109" s="58">
        <v>10</v>
      </c>
      <c r="N109" s="108">
        <f t="shared" si="59"/>
        <v>1</v>
      </c>
      <c r="O109" s="1337"/>
      <c r="P109" s="1343"/>
      <c r="Q109" s="165"/>
      <c r="R109" s="257"/>
      <c r="T109" s="466" t="s">
        <v>880</v>
      </c>
      <c r="U109" s="497" t="s">
        <v>881</v>
      </c>
      <c r="W109" s="500" t="s">
        <v>412</v>
      </c>
      <c r="X109" s="501" t="s">
        <v>412</v>
      </c>
      <c r="Y109" s="501" t="s">
        <v>412</v>
      </c>
      <c r="Z109" s="502" t="s">
        <v>412</v>
      </c>
      <c r="AA109" s="503" t="s">
        <v>412</v>
      </c>
      <c r="AB109" s="501" t="s">
        <v>412</v>
      </c>
      <c r="AC109" s="501" t="s">
        <v>412</v>
      </c>
      <c r="AD109" s="501" t="s">
        <v>412</v>
      </c>
      <c r="AE109" s="504" t="s">
        <v>412</v>
      </c>
      <c r="AF109" s="505" t="s">
        <v>585</v>
      </c>
      <c r="AG109" s="498" t="s">
        <v>882</v>
      </c>
      <c r="AH109" s="499" t="s">
        <v>587</v>
      </c>
    </row>
    <row r="110" spans="1:34">
      <c r="A110" s="1355"/>
      <c r="B110" s="65"/>
      <c r="C110" s="81"/>
      <c r="D110" s="120"/>
      <c r="E110" s="67"/>
      <c r="F110" s="67"/>
      <c r="G110" s="67"/>
      <c r="H110" s="66"/>
      <c r="I110" s="359">
        <f t="shared" ref="I110" si="61">SUM(I105:I109)</f>
        <v>102188</v>
      </c>
      <c r="J110" s="139"/>
      <c r="K110" s="442"/>
      <c r="L110" s="440">
        <f>SUM(L105:L109)</f>
        <v>61</v>
      </c>
      <c r="M110" s="443">
        <f>SUM(M105:M109)</f>
        <v>57</v>
      </c>
      <c r="N110" s="444">
        <f>IFERROR(AVERAGE(N105:N109),"")</f>
        <v>0.93333333333333324</v>
      </c>
      <c r="O110" s="444">
        <f>IFERROR(AVERAGE(N101:N103,N105:N109),"")</f>
        <v>0.77864583333333326</v>
      </c>
      <c r="P110" s="1343"/>
      <c r="Q110" s="352">
        <f>SUM(Q105:Q109)</f>
        <v>0</v>
      </c>
      <c r="R110" s="70">
        <f>SUM(R105:R109)</f>
        <v>0</v>
      </c>
      <c r="T110" s="68"/>
      <c r="U110" s="469"/>
      <c r="W110" s="478"/>
      <c r="X110" s="67"/>
      <c r="Y110" s="67"/>
      <c r="Z110" s="67"/>
      <c r="AA110" s="67"/>
      <c r="AB110" s="67"/>
      <c r="AC110" s="67"/>
      <c r="AD110" s="67"/>
      <c r="AE110" s="67"/>
      <c r="AF110" s="67"/>
      <c r="AG110" s="67"/>
      <c r="AH110" s="467"/>
    </row>
    <row r="111" spans="1:34" ht="30.65" customHeight="1">
      <c r="A111" s="360" t="s">
        <v>358</v>
      </c>
      <c r="B111" s="361"/>
      <c r="C111" s="361"/>
      <c r="D111" s="362"/>
      <c r="E111" s="363" t="s">
        <v>248</v>
      </c>
      <c r="F111" s="364" t="s">
        <v>249</v>
      </c>
      <c r="G111" s="364" t="s">
        <v>250</v>
      </c>
      <c r="H111" s="365" t="s">
        <v>251</v>
      </c>
      <c r="I111" s="389">
        <f t="shared" ref="I111" si="62">I121</f>
        <v>80275</v>
      </c>
      <c r="J111" s="366"/>
      <c r="K111" s="367"/>
      <c r="L111" s="368"/>
      <c r="M111" s="369"/>
      <c r="N111" s="370"/>
      <c r="O111" s="371"/>
      <c r="P111" s="1343"/>
      <c r="Q111" s="373">
        <f t="shared" ref="Q111:R111" si="63">Q121</f>
        <v>0</v>
      </c>
      <c r="R111" s="374">
        <f t="shared" si="63"/>
        <v>0</v>
      </c>
      <c r="T111" s="464" t="s">
        <v>883</v>
      </c>
      <c r="U111" s="465"/>
      <c r="W111" s="464" t="s">
        <v>884</v>
      </c>
      <c r="X111" s="458"/>
      <c r="Y111" s="458"/>
      <c r="Z111" s="458"/>
      <c r="AA111" s="458"/>
      <c r="AB111" s="458"/>
      <c r="AC111" s="458"/>
      <c r="AD111" s="458"/>
      <c r="AE111" s="458"/>
      <c r="AF111" s="458"/>
      <c r="AG111" s="458"/>
      <c r="AH111" s="465"/>
    </row>
    <row r="112" spans="1:34" ht="30.65" customHeight="1">
      <c r="A112" s="1301" t="s">
        <v>359</v>
      </c>
      <c r="B112" s="167"/>
      <c r="C112" s="170" t="s">
        <v>353</v>
      </c>
      <c r="D112" s="177"/>
      <c r="E112" s="408"/>
      <c r="F112" s="408"/>
      <c r="G112" s="408"/>
      <c r="H112" s="408"/>
      <c r="I112" s="356"/>
      <c r="J112" s="183"/>
      <c r="K112" s="171"/>
      <c r="L112" s="1125"/>
      <c r="M112" s="58"/>
      <c r="N112" s="108" t="str">
        <f t="shared" ref="N112:N119" si="64">IF(L112,MIN(1,M112/L112),"")</f>
        <v/>
      </c>
      <c r="O112" s="1381"/>
      <c r="P112" s="1343"/>
      <c r="Q112" s="165"/>
      <c r="R112" s="257"/>
      <c r="T112" s="466" t="s">
        <v>885</v>
      </c>
      <c r="U112" s="497"/>
      <c r="W112" s="500"/>
      <c r="X112" s="501"/>
      <c r="Y112" s="501"/>
      <c r="Z112" s="502"/>
      <c r="AA112" s="503"/>
      <c r="AB112" s="501"/>
      <c r="AC112" s="501"/>
      <c r="AD112" s="501"/>
      <c r="AE112" s="504"/>
      <c r="AF112" s="505"/>
      <c r="AG112" s="498"/>
      <c r="AH112" s="499"/>
    </row>
    <row r="113" spans="1:34" ht="30.65" customHeight="1">
      <c r="A113" s="1376"/>
      <c r="B113" s="167">
        <f>B109+1</f>
        <v>212</v>
      </c>
      <c r="C113" s="170" t="s">
        <v>361</v>
      </c>
      <c r="D113" s="177"/>
      <c r="E113" s="408"/>
      <c r="F113" s="408"/>
      <c r="G113" s="408"/>
      <c r="H113" s="408"/>
      <c r="I113" s="356">
        <v>2344</v>
      </c>
      <c r="J113" s="183"/>
      <c r="K113" s="171" t="s">
        <v>592</v>
      </c>
      <c r="L113" s="1125">
        <v>5</v>
      </c>
      <c r="M113" s="58">
        <v>3</v>
      </c>
      <c r="N113" s="108">
        <f t="shared" si="64"/>
        <v>0.6</v>
      </c>
      <c r="O113" s="1343"/>
      <c r="P113" s="1343"/>
      <c r="Q113" s="165"/>
      <c r="R113" s="257"/>
      <c r="T113" s="466" t="s">
        <v>886</v>
      </c>
      <c r="U113" s="497" t="s">
        <v>887</v>
      </c>
      <c r="W113" s="500" t="s">
        <v>412</v>
      </c>
      <c r="X113" s="501" t="s">
        <v>412</v>
      </c>
      <c r="Y113" s="501" t="s">
        <v>412</v>
      </c>
      <c r="Z113" s="502" t="s">
        <v>412</v>
      </c>
      <c r="AA113" s="503" t="s">
        <v>412</v>
      </c>
      <c r="AB113" s="501" t="s">
        <v>412</v>
      </c>
      <c r="AC113" s="501" t="s">
        <v>412</v>
      </c>
      <c r="AD113" s="501" t="s">
        <v>412</v>
      </c>
      <c r="AE113" s="504" t="s">
        <v>412</v>
      </c>
      <c r="AF113" s="505" t="s">
        <v>585</v>
      </c>
      <c r="AG113" s="498" t="s">
        <v>888</v>
      </c>
      <c r="AH113" s="499" t="s">
        <v>587</v>
      </c>
    </row>
    <row r="114" spans="1:34" ht="30.65" customHeight="1">
      <c r="A114" s="1376"/>
      <c r="B114" s="167">
        <f>B113+1</f>
        <v>213</v>
      </c>
      <c r="C114" s="170" t="s">
        <v>362</v>
      </c>
      <c r="D114" s="177"/>
      <c r="E114" s="408"/>
      <c r="F114" s="408"/>
      <c r="G114" s="408"/>
      <c r="H114" s="408"/>
      <c r="I114" s="356">
        <v>14063</v>
      </c>
      <c r="J114" s="183"/>
      <c r="K114" s="171" t="s">
        <v>483</v>
      </c>
      <c r="L114" s="1125">
        <v>6</v>
      </c>
      <c r="M114" s="58">
        <v>6</v>
      </c>
      <c r="N114" s="108">
        <f t="shared" si="64"/>
        <v>1</v>
      </c>
      <c r="O114" s="1343"/>
      <c r="P114" s="1343"/>
      <c r="Q114" s="165"/>
      <c r="R114" s="257"/>
      <c r="T114" s="466" t="s">
        <v>889</v>
      </c>
      <c r="U114" s="497" t="s">
        <v>890</v>
      </c>
      <c r="W114" s="500" t="s">
        <v>412</v>
      </c>
      <c r="X114" s="501" t="s">
        <v>412</v>
      </c>
      <c r="Y114" s="501" t="s">
        <v>412</v>
      </c>
      <c r="Z114" s="502" t="s">
        <v>412</v>
      </c>
      <c r="AA114" s="503" t="s">
        <v>412</v>
      </c>
      <c r="AB114" s="501" t="s">
        <v>412</v>
      </c>
      <c r="AC114" s="501" t="s">
        <v>412</v>
      </c>
      <c r="AD114" s="501" t="s">
        <v>412</v>
      </c>
      <c r="AE114" s="504" t="s">
        <v>412</v>
      </c>
      <c r="AF114" s="505" t="s">
        <v>585</v>
      </c>
      <c r="AG114" s="498" t="s">
        <v>888</v>
      </c>
      <c r="AH114" s="499" t="s">
        <v>587</v>
      </c>
    </row>
    <row r="115" spans="1:34" ht="30.65" customHeight="1">
      <c r="A115" s="1376"/>
      <c r="B115" s="167">
        <f t="shared" ref="B115:B120" si="65">B114+1</f>
        <v>214</v>
      </c>
      <c r="C115" s="170" t="s">
        <v>363</v>
      </c>
      <c r="D115" s="177"/>
      <c r="E115" s="408"/>
      <c r="F115" s="408"/>
      <c r="G115" s="408"/>
      <c r="H115" s="408"/>
      <c r="I115" s="356">
        <v>10938</v>
      </c>
      <c r="J115" s="183"/>
      <c r="K115" s="171" t="s">
        <v>534</v>
      </c>
      <c r="L115" s="1125">
        <v>7</v>
      </c>
      <c r="M115" s="58">
        <v>5</v>
      </c>
      <c r="N115" s="108">
        <f t="shared" si="64"/>
        <v>0.7142857142857143</v>
      </c>
      <c r="O115" s="1343"/>
      <c r="P115" s="1343"/>
      <c r="Q115" s="165"/>
      <c r="R115" s="257"/>
      <c r="T115" s="466" t="s">
        <v>891</v>
      </c>
      <c r="U115" s="497" t="s">
        <v>892</v>
      </c>
      <c r="W115" s="500" t="s">
        <v>412</v>
      </c>
      <c r="X115" s="501" t="s">
        <v>412</v>
      </c>
      <c r="Y115" s="501" t="s">
        <v>412</v>
      </c>
      <c r="Z115" s="502" t="s">
        <v>412</v>
      </c>
      <c r="AA115" s="503" t="s">
        <v>412</v>
      </c>
      <c r="AB115" s="501" t="s">
        <v>412</v>
      </c>
      <c r="AC115" s="501" t="s">
        <v>893</v>
      </c>
      <c r="AD115" s="501" t="s">
        <v>412</v>
      </c>
      <c r="AE115" s="504" t="s">
        <v>412</v>
      </c>
      <c r="AF115" s="505" t="s">
        <v>585</v>
      </c>
      <c r="AG115" s="498" t="s">
        <v>888</v>
      </c>
      <c r="AH115" s="499" t="s">
        <v>587</v>
      </c>
    </row>
    <row r="116" spans="1:34" ht="30.65" customHeight="1">
      <c r="A116" s="1376"/>
      <c r="B116" s="167">
        <f t="shared" si="65"/>
        <v>215</v>
      </c>
      <c r="C116" s="170" t="s">
        <v>364</v>
      </c>
      <c r="D116" s="177"/>
      <c r="E116" s="408"/>
      <c r="F116" s="408"/>
      <c r="G116" s="408"/>
      <c r="H116" s="408"/>
      <c r="I116" s="356">
        <v>1563</v>
      </c>
      <c r="J116" s="183"/>
      <c r="K116" s="171" t="s">
        <v>534</v>
      </c>
      <c r="L116" s="1125">
        <v>2</v>
      </c>
      <c r="M116" s="58">
        <v>1</v>
      </c>
      <c r="N116" s="108">
        <f t="shared" si="64"/>
        <v>0.5</v>
      </c>
      <c r="O116" s="1343"/>
      <c r="P116" s="1343"/>
      <c r="Q116" s="165"/>
      <c r="R116" s="257"/>
      <c r="T116" s="466" t="s">
        <v>894</v>
      </c>
      <c r="U116" s="497" t="s">
        <v>895</v>
      </c>
      <c r="W116" s="500" t="s">
        <v>412</v>
      </c>
      <c r="X116" s="501" t="s">
        <v>412</v>
      </c>
      <c r="Y116" s="501" t="s">
        <v>412</v>
      </c>
      <c r="Z116" s="502" t="s">
        <v>412</v>
      </c>
      <c r="AA116" s="503" t="s">
        <v>412</v>
      </c>
      <c r="AB116" s="501" t="s">
        <v>412</v>
      </c>
      <c r="AC116" s="501" t="s">
        <v>893</v>
      </c>
      <c r="AD116" s="501" t="s">
        <v>412</v>
      </c>
      <c r="AE116" s="504" t="s">
        <v>412</v>
      </c>
      <c r="AF116" s="505" t="s">
        <v>585</v>
      </c>
      <c r="AG116" s="498" t="s">
        <v>888</v>
      </c>
      <c r="AH116" s="499" t="s">
        <v>587</v>
      </c>
    </row>
    <row r="117" spans="1:34" ht="30.65" customHeight="1">
      <c r="A117" s="1376"/>
      <c r="B117" s="167">
        <f t="shared" si="65"/>
        <v>216</v>
      </c>
      <c r="C117" s="170" t="s">
        <v>365</v>
      </c>
      <c r="D117" s="177"/>
      <c r="E117" s="61"/>
      <c r="F117" s="408"/>
      <c r="G117" s="408"/>
      <c r="H117" s="60"/>
      <c r="I117" s="356">
        <v>12656</v>
      </c>
      <c r="J117" s="183"/>
      <c r="K117" s="171" t="s">
        <v>488</v>
      </c>
      <c r="L117" s="1125">
        <v>6</v>
      </c>
      <c r="M117" s="58">
        <v>5</v>
      </c>
      <c r="N117" s="108">
        <f t="shared" si="64"/>
        <v>0.83333333333333337</v>
      </c>
      <c r="O117" s="1343"/>
      <c r="P117" s="1343"/>
      <c r="Q117" s="165"/>
      <c r="R117" s="257"/>
      <c r="T117" s="466" t="s">
        <v>896</v>
      </c>
      <c r="U117" s="497" t="s">
        <v>897</v>
      </c>
      <c r="W117" s="500" t="s">
        <v>412</v>
      </c>
      <c r="X117" s="501" t="s">
        <v>412</v>
      </c>
      <c r="Y117" s="501" t="s">
        <v>412</v>
      </c>
      <c r="Z117" s="502" t="s">
        <v>412</v>
      </c>
      <c r="AA117" s="503" t="s">
        <v>412</v>
      </c>
      <c r="AB117" s="501" t="s">
        <v>412</v>
      </c>
      <c r="AC117" s="501" t="s">
        <v>893</v>
      </c>
      <c r="AD117" s="501" t="s">
        <v>412</v>
      </c>
      <c r="AE117" s="504" t="s">
        <v>412</v>
      </c>
      <c r="AF117" s="505" t="s">
        <v>585</v>
      </c>
      <c r="AG117" s="498" t="s">
        <v>888</v>
      </c>
      <c r="AH117" s="499" t="s">
        <v>587</v>
      </c>
    </row>
    <row r="118" spans="1:34" ht="30.65" customHeight="1">
      <c r="A118" s="1376"/>
      <c r="B118" s="167"/>
      <c r="C118" s="170" t="s">
        <v>366</v>
      </c>
      <c r="D118" s="177"/>
      <c r="E118" s="408"/>
      <c r="F118" s="408"/>
      <c r="G118" s="61"/>
      <c r="H118" s="60"/>
      <c r="I118" s="356">
        <v>0</v>
      </c>
      <c r="J118" s="183"/>
      <c r="K118" s="171" t="s">
        <v>479</v>
      </c>
      <c r="L118" s="1125"/>
      <c r="M118" s="58"/>
      <c r="N118" s="108" t="str">
        <f t="shared" si="64"/>
        <v/>
      </c>
      <c r="O118" s="1343"/>
      <c r="P118" s="1343"/>
      <c r="Q118" s="165"/>
      <c r="R118" s="257"/>
      <c r="T118" s="466" t="s">
        <v>898</v>
      </c>
      <c r="U118" s="497" t="s">
        <v>899</v>
      </c>
      <c r="W118" s="500" t="s">
        <v>412</v>
      </c>
      <c r="X118" s="501" t="s">
        <v>412</v>
      </c>
      <c r="Y118" s="501" t="s">
        <v>412</v>
      </c>
      <c r="Z118" s="502" t="s">
        <v>412</v>
      </c>
      <c r="AA118" s="503" t="s">
        <v>412</v>
      </c>
      <c r="AB118" s="501" t="s">
        <v>412</v>
      </c>
      <c r="AC118" s="501" t="s">
        <v>412</v>
      </c>
      <c r="AD118" s="501" t="s">
        <v>412</v>
      </c>
      <c r="AE118" s="504" t="s">
        <v>412</v>
      </c>
      <c r="AF118" s="505" t="s">
        <v>585</v>
      </c>
      <c r="AG118" s="498" t="s">
        <v>888</v>
      </c>
      <c r="AH118" s="499" t="s">
        <v>587</v>
      </c>
    </row>
    <row r="119" spans="1:34" ht="30.65" customHeight="1">
      <c r="A119" s="1376"/>
      <c r="B119" s="167">
        <v>217</v>
      </c>
      <c r="C119" s="170" t="s">
        <v>367</v>
      </c>
      <c r="D119" s="177"/>
      <c r="E119" s="61"/>
      <c r="F119" s="61"/>
      <c r="G119" s="408"/>
      <c r="H119" s="408"/>
      <c r="I119" s="356">
        <v>3711</v>
      </c>
      <c r="J119" s="183"/>
      <c r="K119" s="171" t="s">
        <v>483</v>
      </c>
      <c r="L119" s="1125">
        <v>1</v>
      </c>
      <c r="M119" s="58">
        <v>1</v>
      </c>
      <c r="N119" s="108">
        <f t="shared" si="64"/>
        <v>1</v>
      </c>
      <c r="O119" s="1343"/>
      <c r="P119" s="1343"/>
      <c r="Q119" s="165"/>
      <c r="R119" s="257"/>
      <c r="T119" s="466" t="s">
        <v>900</v>
      </c>
      <c r="U119" s="497" t="s">
        <v>901</v>
      </c>
      <c r="W119" s="500" t="s">
        <v>412</v>
      </c>
      <c r="X119" s="501" t="s">
        <v>412</v>
      </c>
      <c r="Y119" s="501" t="s">
        <v>412</v>
      </c>
      <c r="Z119" s="502" t="s">
        <v>412</v>
      </c>
      <c r="AA119" s="503" t="s">
        <v>412</v>
      </c>
      <c r="AB119" s="501" t="s">
        <v>412</v>
      </c>
      <c r="AC119" s="501" t="s">
        <v>902</v>
      </c>
      <c r="AD119" s="501" t="s">
        <v>412</v>
      </c>
      <c r="AE119" s="504" t="s">
        <v>412</v>
      </c>
      <c r="AF119" s="505" t="s">
        <v>585</v>
      </c>
      <c r="AG119" s="498" t="s">
        <v>888</v>
      </c>
      <c r="AH119" s="499" t="s">
        <v>587</v>
      </c>
    </row>
    <row r="120" spans="1:34" ht="30.65" customHeight="1">
      <c r="A120" s="1376"/>
      <c r="B120" s="167">
        <f t="shared" si="65"/>
        <v>218</v>
      </c>
      <c r="C120" s="170" t="s">
        <v>368</v>
      </c>
      <c r="D120" s="177"/>
      <c r="E120" s="408"/>
      <c r="F120" s="408"/>
      <c r="G120" s="408"/>
      <c r="H120" s="408"/>
      <c r="I120" s="356">
        <v>35000</v>
      </c>
      <c r="J120" s="183"/>
      <c r="K120" s="171" t="s">
        <v>903</v>
      </c>
      <c r="L120" s="1125">
        <v>1</v>
      </c>
      <c r="M120" s="58">
        <v>1</v>
      </c>
      <c r="N120" s="108">
        <f t="shared" ref="N120" si="66">IF(L120,MIN(1,M120/L120),"")</f>
        <v>1</v>
      </c>
      <c r="O120" s="1344"/>
      <c r="P120" s="1343"/>
      <c r="Q120" s="165"/>
      <c r="R120" s="257"/>
      <c r="T120" s="466" t="s">
        <v>904</v>
      </c>
      <c r="U120" s="497" t="s">
        <v>905</v>
      </c>
      <c r="W120" s="500" t="s">
        <v>412</v>
      </c>
      <c r="X120" s="501" t="s">
        <v>412</v>
      </c>
      <c r="Y120" s="501" t="s">
        <v>412</v>
      </c>
      <c r="Z120" s="502" t="s">
        <v>412</v>
      </c>
      <c r="AA120" s="503" t="s">
        <v>412</v>
      </c>
      <c r="AB120" s="501" t="s">
        <v>412</v>
      </c>
      <c r="AC120" s="501" t="s">
        <v>906</v>
      </c>
      <c r="AD120" s="501" t="s">
        <v>412</v>
      </c>
      <c r="AE120" s="504" t="s">
        <v>412</v>
      </c>
      <c r="AF120" s="505" t="s">
        <v>585</v>
      </c>
      <c r="AG120" s="498" t="s">
        <v>888</v>
      </c>
      <c r="AH120" s="499" t="s">
        <v>587</v>
      </c>
    </row>
    <row r="121" spans="1:34">
      <c r="A121" s="1377"/>
      <c r="B121" s="65"/>
      <c r="C121" s="81"/>
      <c r="D121" s="120"/>
      <c r="E121" s="67"/>
      <c r="F121" s="67"/>
      <c r="G121" s="67"/>
      <c r="H121" s="66"/>
      <c r="I121" s="359">
        <f>SUM(I112:I120)</f>
        <v>80275</v>
      </c>
      <c r="J121" s="139"/>
      <c r="K121" s="442"/>
      <c r="L121" s="440">
        <f>SUM(L112:L120)</f>
        <v>28</v>
      </c>
      <c r="M121" s="443">
        <f>SUM(M112:M120)</f>
        <v>22</v>
      </c>
      <c r="N121" s="444">
        <f>IFERROR(AVERAGE(N112:N120),"")</f>
        <v>0.80680272108843543</v>
      </c>
      <c r="O121" s="444">
        <f>IFERROR(AVERAGE(N112:N120),"")</f>
        <v>0.80680272108843543</v>
      </c>
      <c r="P121" s="1343"/>
      <c r="Q121" s="352">
        <f>SUM(Q112:Q120)</f>
        <v>0</v>
      </c>
      <c r="R121" s="70">
        <f>SUM(R112:R120)</f>
        <v>0</v>
      </c>
      <c r="T121" s="68"/>
      <c r="U121" s="469"/>
      <c r="W121" s="478"/>
      <c r="X121" s="67"/>
      <c r="Y121" s="67"/>
      <c r="Z121" s="67"/>
      <c r="AA121" s="67"/>
      <c r="AB121" s="67"/>
      <c r="AC121" s="67"/>
      <c r="AD121" s="67"/>
      <c r="AE121" s="67"/>
      <c r="AF121" s="67"/>
      <c r="AG121" s="67"/>
      <c r="AH121" s="467"/>
    </row>
    <row r="122" spans="1:34" ht="30.65" customHeight="1">
      <c r="A122" s="360" t="s">
        <v>370</v>
      </c>
      <c r="B122" s="361"/>
      <c r="C122" s="361"/>
      <c r="D122" s="362"/>
      <c r="E122" s="363" t="s">
        <v>248</v>
      </c>
      <c r="F122" s="364" t="s">
        <v>249</v>
      </c>
      <c r="G122" s="364" t="s">
        <v>250</v>
      </c>
      <c r="H122" s="365" t="s">
        <v>251</v>
      </c>
      <c r="I122" s="389">
        <f t="shared" ref="I122" si="67">I130</f>
        <v>45938</v>
      </c>
      <c r="J122" s="366"/>
      <c r="K122" s="367"/>
      <c r="L122" s="368"/>
      <c r="M122" s="369"/>
      <c r="N122" s="370"/>
      <c r="O122" s="371"/>
      <c r="P122" s="1343"/>
      <c r="Q122" s="373">
        <f t="shared" ref="Q122:R122" si="68">Q130</f>
        <v>0</v>
      </c>
      <c r="R122" s="374">
        <f t="shared" si="68"/>
        <v>0</v>
      </c>
      <c r="T122" s="464" t="s">
        <v>907</v>
      </c>
      <c r="U122" s="465"/>
      <c r="W122" s="464" t="s">
        <v>907</v>
      </c>
      <c r="X122" s="458"/>
      <c r="Y122" s="458"/>
      <c r="Z122" s="458"/>
      <c r="AA122" s="458"/>
      <c r="AB122" s="458"/>
      <c r="AC122" s="458"/>
      <c r="AD122" s="458"/>
      <c r="AE122" s="458"/>
      <c r="AF122" s="458"/>
      <c r="AG122" s="458"/>
      <c r="AH122" s="465"/>
    </row>
    <row r="123" spans="1:34" ht="30.65" customHeight="1">
      <c r="A123" s="1301" t="s">
        <v>371</v>
      </c>
      <c r="B123" s="167"/>
      <c r="C123" s="170" t="s">
        <v>372</v>
      </c>
      <c r="D123" s="176" t="s">
        <v>78</v>
      </c>
      <c r="E123" s="61"/>
      <c r="F123" s="61"/>
      <c r="G123" s="61"/>
      <c r="H123" s="60"/>
      <c r="I123" s="356"/>
      <c r="J123" s="182"/>
      <c r="K123" s="171"/>
      <c r="L123" s="1125"/>
      <c r="M123" s="58"/>
      <c r="N123" s="108" t="str">
        <f t="shared" ref="N123:N129" si="69">IF(L123,MIN(1,M123/L123),"")</f>
        <v/>
      </c>
      <c r="O123" s="1345"/>
      <c r="P123" s="1343"/>
      <c r="Q123" s="165"/>
      <c r="R123" s="257"/>
      <c r="T123" s="466" t="s">
        <v>908</v>
      </c>
      <c r="U123" s="497"/>
      <c r="W123" s="500"/>
      <c r="X123" s="501"/>
      <c r="Y123" s="501"/>
      <c r="Z123" s="502"/>
      <c r="AA123" s="503"/>
      <c r="AB123" s="501"/>
      <c r="AC123" s="501"/>
      <c r="AD123" s="501"/>
      <c r="AE123" s="504"/>
      <c r="AF123" s="505"/>
      <c r="AG123" s="498"/>
      <c r="AH123" s="499"/>
    </row>
    <row r="124" spans="1:34" ht="30.65" customHeight="1">
      <c r="A124" s="1302"/>
      <c r="B124" s="167">
        <v>220</v>
      </c>
      <c r="C124" s="170" t="s">
        <v>373</v>
      </c>
      <c r="D124" s="177" t="s">
        <v>595</v>
      </c>
      <c r="E124" s="408"/>
      <c r="F124" s="408"/>
      <c r="G124" s="408"/>
      <c r="H124" s="60"/>
      <c r="I124" s="356">
        <v>10938</v>
      </c>
      <c r="J124" s="183"/>
      <c r="K124" s="171" t="s">
        <v>909</v>
      </c>
      <c r="L124" s="1125">
        <v>7</v>
      </c>
      <c r="M124" s="58">
        <v>5</v>
      </c>
      <c r="N124" s="108">
        <f t="shared" si="69"/>
        <v>0.7142857142857143</v>
      </c>
      <c r="O124" s="1305"/>
      <c r="P124" s="1343"/>
      <c r="Q124" s="165"/>
      <c r="R124" s="257"/>
      <c r="T124" s="466" t="s">
        <v>910</v>
      </c>
      <c r="U124" s="497" t="s">
        <v>911</v>
      </c>
      <c r="W124" s="500" t="s">
        <v>412</v>
      </c>
      <c r="X124" s="501" t="s">
        <v>912</v>
      </c>
      <c r="Y124" s="501" t="s">
        <v>912</v>
      </c>
      <c r="Z124" s="502" t="s">
        <v>913</v>
      </c>
      <c r="AA124" s="503" t="s">
        <v>914</v>
      </c>
      <c r="AB124" s="501" t="s">
        <v>915</v>
      </c>
      <c r="AC124" s="501" t="s">
        <v>412</v>
      </c>
      <c r="AD124" s="501" t="s">
        <v>412</v>
      </c>
      <c r="AE124" s="504" t="s">
        <v>412</v>
      </c>
      <c r="AF124" s="505" t="s">
        <v>746</v>
      </c>
      <c r="AG124" s="498" t="s">
        <v>916</v>
      </c>
      <c r="AH124" s="499" t="s">
        <v>587</v>
      </c>
    </row>
    <row r="125" spans="1:34" ht="30.65" customHeight="1">
      <c r="A125" s="1302"/>
      <c r="B125" s="167">
        <f>B124+1</f>
        <v>221</v>
      </c>
      <c r="C125" s="170" t="s">
        <v>374</v>
      </c>
      <c r="D125" s="177" t="s">
        <v>78</v>
      </c>
      <c r="E125" s="61"/>
      <c r="F125" s="408"/>
      <c r="G125" s="61"/>
      <c r="H125" s="60"/>
      <c r="I125" s="356">
        <v>3828</v>
      </c>
      <c r="J125" s="183"/>
      <c r="K125" s="171" t="s">
        <v>917</v>
      </c>
      <c r="L125" s="1125">
        <v>1</v>
      </c>
      <c r="M125" s="58">
        <v>1</v>
      </c>
      <c r="N125" s="108">
        <f t="shared" si="69"/>
        <v>1</v>
      </c>
      <c r="O125" s="1305"/>
      <c r="P125" s="1343"/>
      <c r="Q125" s="165"/>
      <c r="R125" s="257"/>
      <c r="T125" s="466" t="s">
        <v>918</v>
      </c>
      <c r="U125" s="497" t="s">
        <v>919</v>
      </c>
      <c r="W125" s="500" t="s">
        <v>412</v>
      </c>
      <c r="X125" s="501" t="s">
        <v>412</v>
      </c>
      <c r="Y125" s="501" t="s">
        <v>412</v>
      </c>
      <c r="Z125" s="502" t="s">
        <v>412</v>
      </c>
      <c r="AA125" s="503" t="s">
        <v>412</v>
      </c>
      <c r="AB125" s="501" t="s">
        <v>412</v>
      </c>
      <c r="AC125" s="501" t="s">
        <v>412</v>
      </c>
      <c r="AD125" s="501" t="s">
        <v>412</v>
      </c>
      <c r="AE125" s="504" t="s">
        <v>412</v>
      </c>
      <c r="AF125" s="505" t="s">
        <v>746</v>
      </c>
      <c r="AG125" s="498" t="s">
        <v>916</v>
      </c>
      <c r="AH125" s="499" t="s">
        <v>587</v>
      </c>
    </row>
    <row r="126" spans="1:34" ht="30.65" customHeight="1">
      <c r="A126" s="1302"/>
      <c r="B126" s="167">
        <f t="shared" ref="B126:B129" si="70">B125+1</f>
        <v>222</v>
      </c>
      <c r="C126" s="170" t="s">
        <v>375</v>
      </c>
      <c r="D126" s="177" t="s">
        <v>78</v>
      </c>
      <c r="E126" s="61"/>
      <c r="F126" s="408"/>
      <c r="G126" s="61"/>
      <c r="H126" s="60"/>
      <c r="I126" s="356">
        <v>3906</v>
      </c>
      <c r="J126" s="183"/>
      <c r="K126" s="171" t="s">
        <v>920</v>
      </c>
      <c r="L126" s="1125">
        <v>2</v>
      </c>
      <c r="M126" s="58">
        <v>1</v>
      </c>
      <c r="N126" s="108">
        <f t="shared" si="69"/>
        <v>0.5</v>
      </c>
      <c r="O126" s="1305"/>
      <c r="P126" s="1343"/>
      <c r="Q126" s="165"/>
      <c r="R126" s="257"/>
      <c r="T126" s="466" t="s">
        <v>921</v>
      </c>
      <c r="U126" s="497" t="s">
        <v>922</v>
      </c>
      <c r="W126" s="500" t="s">
        <v>412</v>
      </c>
      <c r="X126" s="501" t="s">
        <v>412</v>
      </c>
      <c r="Y126" s="501" t="s">
        <v>412</v>
      </c>
      <c r="Z126" s="502" t="s">
        <v>412</v>
      </c>
      <c r="AA126" s="503" t="s">
        <v>412</v>
      </c>
      <c r="AB126" s="501" t="s">
        <v>412</v>
      </c>
      <c r="AC126" s="501" t="s">
        <v>412</v>
      </c>
      <c r="AD126" s="501" t="s">
        <v>412</v>
      </c>
      <c r="AE126" s="504" t="s">
        <v>412</v>
      </c>
      <c r="AF126" s="505" t="s">
        <v>746</v>
      </c>
      <c r="AG126" s="498" t="s">
        <v>916</v>
      </c>
      <c r="AH126" s="499" t="s">
        <v>587</v>
      </c>
    </row>
    <row r="127" spans="1:34" ht="30.65" customHeight="1">
      <c r="A127" s="1302"/>
      <c r="B127" s="167">
        <f t="shared" si="70"/>
        <v>223</v>
      </c>
      <c r="C127" s="170" t="s">
        <v>376</v>
      </c>
      <c r="D127" s="177" t="s">
        <v>78</v>
      </c>
      <c r="E127" s="61"/>
      <c r="F127" s="408"/>
      <c r="G127" s="61"/>
      <c r="H127" s="60"/>
      <c r="I127" s="356">
        <v>3828</v>
      </c>
      <c r="J127" s="183"/>
      <c r="K127" s="171" t="s">
        <v>923</v>
      </c>
      <c r="L127" s="1125">
        <v>1</v>
      </c>
      <c r="M127" s="58">
        <v>1</v>
      </c>
      <c r="N127" s="108">
        <f t="shared" si="69"/>
        <v>1</v>
      </c>
      <c r="O127" s="1305"/>
      <c r="P127" s="1343"/>
      <c r="Q127" s="165"/>
      <c r="R127" s="257"/>
      <c r="T127" s="466" t="s">
        <v>924</v>
      </c>
      <c r="U127" s="497" t="s">
        <v>925</v>
      </c>
      <c r="W127" s="500" t="s">
        <v>412</v>
      </c>
      <c r="X127" s="501" t="s">
        <v>412</v>
      </c>
      <c r="Y127" s="501" t="s">
        <v>412</v>
      </c>
      <c r="Z127" s="502" t="s">
        <v>412</v>
      </c>
      <c r="AA127" s="503" t="s">
        <v>412</v>
      </c>
      <c r="AB127" s="501" t="s">
        <v>412</v>
      </c>
      <c r="AC127" s="501" t="s">
        <v>412</v>
      </c>
      <c r="AD127" s="501" t="s">
        <v>412</v>
      </c>
      <c r="AE127" s="504" t="s">
        <v>412</v>
      </c>
      <c r="AF127" s="505" t="s">
        <v>746</v>
      </c>
      <c r="AG127" s="498" t="s">
        <v>916</v>
      </c>
      <c r="AH127" s="499" t="s">
        <v>587</v>
      </c>
    </row>
    <row r="128" spans="1:34" ht="30.65" customHeight="1">
      <c r="A128" s="1302"/>
      <c r="B128" s="167">
        <f t="shared" si="70"/>
        <v>224</v>
      </c>
      <c r="C128" s="170" t="s">
        <v>377</v>
      </c>
      <c r="D128" s="177" t="s">
        <v>595</v>
      </c>
      <c r="E128" s="408"/>
      <c r="F128" s="408"/>
      <c r="G128" s="408"/>
      <c r="H128" s="408"/>
      <c r="I128" s="356">
        <v>23438</v>
      </c>
      <c r="J128" s="183"/>
      <c r="K128" s="171" t="s">
        <v>608</v>
      </c>
      <c r="L128" s="1125">
        <v>12</v>
      </c>
      <c r="M128" s="58">
        <v>12</v>
      </c>
      <c r="N128" s="108">
        <f t="shared" si="69"/>
        <v>1</v>
      </c>
      <c r="O128" s="1305"/>
      <c r="P128" s="1343"/>
      <c r="Q128" s="165"/>
      <c r="R128" s="257"/>
      <c r="T128" s="466" t="s">
        <v>926</v>
      </c>
      <c r="U128" s="497" t="s">
        <v>927</v>
      </c>
      <c r="W128" s="500" t="s">
        <v>412</v>
      </c>
      <c r="X128" s="501" t="s">
        <v>412</v>
      </c>
      <c r="Y128" s="501" t="s">
        <v>412</v>
      </c>
      <c r="Z128" s="502" t="s">
        <v>412</v>
      </c>
      <c r="AA128" s="503" t="s">
        <v>412</v>
      </c>
      <c r="AB128" s="501" t="s">
        <v>412</v>
      </c>
      <c r="AC128" s="501" t="s">
        <v>412</v>
      </c>
      <c r="AD128" s="501" t="s">
        <v>412</v>
      </c>
      <c r="AE128" s="504" t="s">
        <v>412</v>
      </c>
      <c r="AF128" s="505" t="s">
        <v>746</v>
      </c>
      <c r="AG128" s="498" t="s">
        <v>916</v>
      </c>
      <c r="AH128" s="499" t="s">
        <v>587</v>
      </c>
    </row>
    <row r="129" spans="1:34" ht="30.65" customHeight="1">
      <c r="A129" s="1302"/>
      <c r="B129" s="167">
        <f t="shared" si="70"/>
        <v>225</v>
      </c>
      <c r="C129" s="170" t="s">
        <v>378</v>
      </c>
      <c r="D129" s="177" t="s">
        <v>78</v>
      </c>
      <c r="E129" s="61"/>
      <c r="F129" s="61"/>
      <c r="G129" s="61"/>
      <c r="H129" s="60"/>
      <c r="I129" s="356"/>
      <c r="J129" s="183"/>
      <c r="K129" s="171"/>
      <c r="L129" s="1125"/>
      <c r="M129" s="58"/>
      <c r="N129" s="108" t="str">
        <f t="shared" si="69"/>
        <v/>
      </c>
      <c r="O129" s="1346"/>
      <c r="P129" s="1344"/>
      <c r="Q129" s="165"/>
      <c r="R129" s="257"/>
      <c r="T129" s="466" t="s">
        <v>928</v>
      </c>
      <c r="U129" s="497"/>
      <c r="W129" s="500"/>
      <c r="X129" s="501"/>
      <c r="Y129" s="501"/>
      <c r="Z129" s="502"/>
      <c r="AA129" s="503"/>
      <c r="AB129" s="501"/>
      <c r="AC129" s="501"/>
      <c r="AD129" s="501"/>
      <c r="AE129" s="504"/>
      <c r="AF129" s="505"/>
      <c r="AG129" s="498"/>
      <c r="AH129" s="499"/>
    </row>
    <row r="130" spans="1:34" ht="15" thickBot="1">
      <c r="A130" s="1355"/>
      <c r="B130" s="65"/>
      <c r="C130" s="81"/>
      <c r="D130" s="120"/>
      <c r="E130" s="67"/>
      <c r="F130" s="67"/>
      <c r="G130" s="67"/>
      <c r="H130" s="66"/>
      <c r="I130" s="359">
        <f>SUM(I123:I129)</f>
        <v>45938</v>
      </c>
      <c r="J130" s="139"/>
      <c r="K130" s="442"/>
      <c r="L130" s="440">
        <f>SUM(L123:L129)</f>
        <v>23</v>
      </c>
      <c r="M130" s="443">
        <f>SUM(M123:M129)</f>
        <v>20</v>
      </c>
      <c r="N130" s="444">
        <f>IFERROR(AVERAGE(N123:N129),"")</f>
        <v>0.84285714285714286</v>
      </c>
      <c r="O130" s="444">
        <f>IFERROR(AVERAGE(N123:N129),"")</f>
        <v>0.84285714285714286</v>
      </c>
      <c r="P130" s="444">
        <f>IFERROR(AVERAGE(N101:N103,N105:N109,N112:N120,N123:N129),"")</f>
        <v>0.8045535714285712</v>
      </c>
      <c r="Q130" s="352">
        <f>SUM(Q123:Q129)</f>
        <v>0</v>
      </c>
      <c r="R130" s="70">
        <f>SUM(R123:R129)</f>
        <v>0</v>
      </c>
      <c r="T130" s="487"/>
      <c r="U130" s="488"/>
      <c r="W130" s="481"/>
      <c r="X130" s="482"/>
      <c r="Y130" s="482"/>
      <c r="Z130" s="482"/>
      <c r="AA130" s="482"/>
      <c r="AB130" s="482"/>
      <c r="AC130" s="482"/>
      <c r="AD130" s="482"/>
      <c r="AE130" s="482"/>
      <c r="AF130" s="482"/>
      <c r="AG130" s="482"/>
      <c r="AH130" s="483"/>
    </row>
    <row r="131" spans="1:34" ht="36.75" customHeight="1">
      <c r="A131" s="83" t="s">
        <v>379</v>
      </c>
      <c r="B131" s="83"/>
      <c r="C131" s="84"/>
      <c r="D131" s="84"/>
      <c r="E131" s="85"/>
      <c r="F131" s="85"/>
      <c r="G131" s="85"/>
      <c r="H131" s="86"/>
      <c r="I131" s="445">
        <f>I132+I150+I170</f>
        <v>271558</v>
      </c>
      <c r="J131" s="136"/>
      <c r="K131" s="114"/>
      <c r="L131" s="89"/>
      <c r="M131" s="90"/>
      <c r="N131" s="88"/>
      <c r="O131" s="88"/>
      <c r="P131" s="91"/>
      <c r="Q131" s="349">
        <f>Q132+Q150+Q170</f>
        <v>0</v>
      </c>
      <c r="R131" s="82">
        <f>R132+R150+R170</f>
        <v>0</v>
      </c>
    </row>
    <row r="132" spans="1:34" ht="30.65" customHeight="1">
      <c r="A132" s="277" t="s">
        <v>380</v>
      </c>
      <c r="B132" s="278"/>
      <c r="C132" s="278"/>
      <c r="D132" s="276"/>
      <c r="E132" s="250" t="s">
        <v>248</v>
      </c>
      <c r="F132" s="251" t="s">
        <v>249</v>
      </c>
      <c r="G132" s="251" t="s">
        <v>250</v>
      </c>
      <c r="H132" s="252" t="s">
        <v>251</v>
      </c>
      <c r="I132" s="381">
        <f t="shared" ref="I132" si="71">I149</f>
        <v>49034</v>
      </c>
      <c r="J132" s="254"/>
      <c r="K132" s="259"/>
      <c r="L132" s="261"/>
      <c r="M132" s="262"/>
      <c r="N132" s="255"/>
      <c r="O132" s="282"/>
      <c r="P132" s="283"/>
      <c r="Q132" s="351">
        <f t="shared" ref="Q132:R132" si="72">Q149</f>
        <v>0</v>
      </c>
      <c r="R132" s="256">
        <f t="shared" si="72"/>
        <v>0</v>
      </c>
    </row>
    <row r="133" spans="1:34" ht="30.65" customHeight="1">
      <c r="A133" s="1349" t="s">
        <v>381</v>
      </c>
      <c r="B133" s="167" t="s">
        <v>382</v>
      </c>
      <c r="C133" s="185" t="s">
        <v>538</v>
      </c>
      <c r="D133" s="186" t="s">
        <v>78</v>
      </c>
      <c r="E133" s="62"/>
      <c r="F133" s="62"/>
      <c r="G133" s="62"/>
      <c r="H133" s="63"/>
      <c r="I133" s="356">
        <v>2813</v>
      </c>
      <c r="J133" s="182"/>
      <c r="K133" s="1127" t="s">
        <v>608</v>
      </c>
      <c r="L133" s="1128">
        <v>12</v>
      </c>
      <c r="M133" s="58"/>
      <c r="N133" s="307"/>
      <c r="O133" s="307"/>
      <c r="P133" s="307"/>
      <c r="Q133" s="263"/>
      <c r="R133" s="1129"/>
    </row>
    <row r="134" spans="1:34" ht="30.65" customHeight="1">
      <c r="A134" s="1350"/>
      <c r="B134" s="167" t="s">
        <v>382</v>
      </c>
      <c r="C134" s="185" t="s">
        <v>929</v>
      </c>
      <c r="D134" s="186" t="s">
        <v>78</v>
      </c>
      <c r="E134" s="62"/>
      <c r="F134" s="62"/>
      <c r="G134" s="62"/>
      <c r="H134" s="63"/>
      <c r="I134" s="356">
        <v>938</v>
      </c>
      <c r="J134" s="183"/>
      <c r="K134" s="1127" t="s">
        <v>608</v>
      </c>
      <c r="L134" s="1128">
        <v>12</v>
      </c>
      <c r="M134" s="58"/>
      <c r="N134" s="307"/>
      <c r="O134" s="307"/>
      <c r="P134" s="307"/>
      <c r="Q134" s="263"/>
      <c r="R134" s="1129"/>
    </row>
    <row r="135" spans="1:34" ht="30.65" customHeight="1">
      <c r="A135" s="1350"/>
      <c r="B135" s="167" t="s">
        <v>382</v>
      </c>
      <c r="C135" s="185" t="s">
        <v>930</v>
      </c>
      <c r="D135" s="186" t="s">
        <v>78</v>
      </c>
      <c r="E135" s="62"/>
      <c r="F135" s="62"/>
      <c r="G135" s="62"/>
      <c r="H135" s="63"/>
      <c r="I135" s="356">
        <v>1172</v>
      </c>
      <c r="J135" s="183"/>
      <c r="K135" s="1127" t="s">
        <v>931</v>
      </c>
      <c r="L135" s="1128">
        <v>2</v>
      </c>
      <c r="M135" s="58"/>
      <c r="N135" s="307"/>
      <c r="O135" s="307"/>
      <c r="P135" s="307"/>
      <c r="Q135" s="263"/>
      <c r="R135" s="1129"/>
    </row>
    <row r="136" spans="1:34" ht="30.65" customHeight="1">
      <c r="A136" s="1350"/>
      <c r="B136" s="167" t="s">
        <v>382</v>
      </c>
      <c r="C136" s="185" t="s">
        <v>384</v>
      </c>
      <c r="D136" s="186" t="s">
        <v>78</v>
      </c>
      <c r="E136" s="62"/>
      <c r="F136" s="62"/>
      <c r="G136" s="62"/>
      <c r="H136" s="63"/>
      <c r="I136" s="356">
        <v>3906</v>
      </c>
      <c r="J136" s="183"/>
      <c r="K136" s="1127" t="s">
        <v>608</v>
      </c>
      <c r="L136" s="1128">
        <v>12</v>
      </c>
      <c r="M136" s="58"/>
      <c r="N136" s="307"/>
      <c r="O136" s="307"/>
      <c r="P136" s="307"/>
      <c r="Q136" s="263"/>
      <c r="R136" s="1129"/>
    </row>
    <row r="137" spans="1:34" ht="30.65" customHeight="1">
      <c r="A137" s="1350"/>
      <c r="B137" s="167" t="s">
        <v>382</v>
      </c>
      <c r="C137" s="185" t="s">
        <v>385</v>
      </c>
      <c r="D137" s="186" t="s">
        <v>78</v>
      </c>
      <c r="E137" s="62"/>
      <c r="F137" s="62"/>
      <c r="G137" s="62"/>
      <c r="H137" s="63"/>
      <c r="I137" s="356">
        <v>469</v>
      </c>
      <c r="J137" s="183"/>
      <c r="K137" s="1127" t="s">
        <v>608</v>
      </c>
      <c r="L137" s="1128">
        <v>12</v>
      </c>
      <c r="M137" s="58"/>
      <c r="N137" s="307"/>
      <c r="O137" s="307"/>
      <c r="P137" s="307"/>
      <c r="Q137" s="263"/>
      <c r="R137" s="1129"/>
    </row>
    <row r="138" spans="1:34" ht="30.65" customHeight="1">
      <c r="A138" s="1350"/>
      <c r="B138" s="167" t="s">
        <v>382</v>
      </c>
      <c r="C138" s="185" t="s">
        <v>386</v>
      </c>
      <c r="D138" s="186" t="s">
        <v>78</v>
      </c>
      <c r="E138" s="62"/>
      <c r="F138" s="62"/>
      <c r="G138" s="62"/>
      <c r="H138" s="63"/>
      <c r="I138" s="356">
        <v>3281</v>
      </c>
      <c r="J138" s="183"/>
      <c r="K138" s="1127" t="s">
        <v>608</v>
      </c>
      <c r="L138" s="1128">
        <v>12</v>
      </c>
      <c r="M138" s="58"/>
      <c r="N138" s="307"/>
      <c r="O138" s="307"/>
      <c r="P138" s="307"/>
      <c r="Q138" s="263"/>
      <c r="R138" s="1129"/>
    </row>
    <row r="139" spans="1:34" ht="30.65" customHeight="1">
      <c r="A139" s="1350"/>
      <c r="B139" s="167" t="s">
        <v>382</v>
      </c>
      <c r="C139" s="185" t="s">
        <v>387</v>
      </c>
      <c r="D139" s="186" t="s">
        <v>78</v>
      </c>
      <c r="E139" s="62"/>
      <c r="F139" s="62"/>
      <c r="G139" s="62"/>
      <c r="H139" s="63"/>
      <c r="I139" s="356">
        <v>5625</v>
      </c>
      <c r="J139" s="183"/>
      <c r="K139" s="1127" t="s">
        <v>608</v>
      </c>
      <c r="L139" s="1128">
        <v>12</v>
      </c>
      <c r="M139" s="58"/>
      <c r="N139" s="307"/>
      <c r="O139" s="307"/>
      <c r="P139" s="307"/>
      <c r="Q139" s="263"/>
      <c r="R139" s="1129"/>
    </row>
    <row r="140" spans="1:34" ht="30.65" customHeight="1">
      <c r="A140" s="1350"/>
      <c r="B140" s="167" t="s">
        <v>382</v>
      </c>
      <c r="C140" s="185" t="s">
        <v>932</v>
      </c>
      <c r="D140" s="186" t="s">
        <v>78</v>
      </c>
      <c r="E140" s="62"/>
      <c r="F140" s="62"/>
      <c r="G140" s="62"/>
      <c r="H140" s="63"/>
      <c r="I140" s="356">
        <v>1758</v>
      </c>
      <c r="J140" s="183"/>
      <c r="K140" s="1127" t="s">
        <v>536</v>
      </c>
      <c r="L140" s="1128">
        <v>1</v>
      </c>
      <c r="M140" s="58"/>
      <c r="N140" s="307"/>
      <c r="O140" s="307"/>
      <c r="P140" s="307"/>
      <c r="Q140" s="263"/>
      <c r="R140" s="1129"/>
    </row>
    <row r="141" spans="1:34" ht="30.65" customHeight="1">
      <c r="A141" s="1350"/>
      <c r="B141" s="167" t="s">
        <v>382</v>
      </c>
      <c r="C141" s="185" t="s">
        <v>388</v>
      </c>
      <c r="D141" s="186" t="s">
        <v>78</v>
      </c>
      <c r="E141" s="62"/>
      <c r="F141" s="62"/>
      <c r="G141" s="62"/>
      <c r="H141" s="63"/>
      <c r="I141" s="356">
        <v>234</v>
      </c>
      <c r="J141" s="183"/>
      <c r="K141" s="1127" t="s">
        <v>608</v>
      </c>
      <c r="L141" s="1128">
        <v>12</v>
      </c>
      <c r="M141" s="58"/>
      <c r="N141" s="307"/>
      <c r="O141" s="307"/>
      <c r="P141" s="307"/>
      <c r="Q141" s="263"/>
      <c r="R141" s="1129"/>
    </row>
    <row r="142" spans="1:34" ht="30.65" customHeight="1">
      <c r="A142" s="1350"/>
      <c r="B142" s="167" t="s">
        <v>382</v>
      </c>
      <c r="C142" s="185" t="s">
        <v>389</v>
      </c>
      <c r="D142" s="186" t="s">
        <v>78</v>
      </c>
      <c r="E142" s="62"/>
      <c r="F142" s="62"/>
      <c r="G142" s="62"/>
      <c r="H142" s="63"/>
      <c r="I142" s="356">
        <v>938</v>
      </c>
      <c r="J142" s="183"/>
      <c r="K142" s="1127" t="s">
        <v>608</v>
      </c>
      <c r="L142" s="1128">
        <v>12</v>
      </c>
      <c r="M142" s="58"/>
      <c r="N142" s="307"/>
      <c r="O142" s="307"/>
      <c r="P142" s="307"/>
      <c r="Q142" s="263"/>
      <c r="R142" s="1129"/>
    </row>
    <row r="143" spans="1:34" ht="30.65" customHeight="1">
      <c r="A143" s="1350"/>
      <c r="B143" s="167" t="s">
        <v>382</v>
      </c>
      <c r="C143" s="185" t="s">
        <v>390</v>
      </c>
      <c r="D143" s="186" t="s">
        <v>78</v>
      </c>
      <c r="E143" s="62"/>
      <c r="F143" s="62"/>
      <c r="G143" s="62"/>
      <c r="H143" s="63"/>
      <c r="I143" s="356">
        <v>2813</v>
      </c>
      <c r="J143" s="183"/>
      <c r="K143" s="1127" t="s">
        <v>608</v>
      </c>
      <c r="L143" s="1128">
        <v>12</v>
      </c>
      <c r="M143" s="58"/>
      <c r="N143" s="307"/>
      <c r="O143" s="307"/>
      <c r="P143" s="307"/>
      <c r="Q143" s="263"/>
      <c r="R143" s="1129"/>
    </row>
    <row r="144" spans="1:34" ht="30.65" customHeight="1">
      <c r="A144" s="1350"/>
      <c r="B144" s="167" t="s">
        <v>382</v>
      </c>
      <c r="C144" s="185" t="s">
        <v>391</v>
      </c>
      <c r="D144" s="186" t="s">
        <v>78</v>
      </c>
      <c r="E144" s="62"/>
      <c r="F144" s="62"/>
      <c r="G144" s="62"/>
      <c r="H144" s="63"/>
      <c r="I144" s="356">
        <v>7813</v>
      </c>
      <c r="J144" s="183"/>
      <c r="K144" s="1127" t="s">
        <v>608</v>
      </c>
      <c r="L144" s="1128">
        <v>12</v>
      </c>
      <c r="M144" s="58"/>
      <c r="N144" s="307"/>
      <c r="O144" s="307"/>
      <c r="P144" s="307"/>
      <c r="Q144" s="263"/>
      <c r="R144" s="1129"/>
    </row>
    <row r="145" spans="1:18" ht="30.65" customHeight="1">
      <c r="A145" s="1380"/>
      <c r="B145" s="167" t="s">
        <v>382</v>
      </c>
      <c r="C145" s="185" t="s">
        <v>392</v>
      </c>
      <c r="D145" s="186" t="s">
        <v>78</v>
      </c>
      <c r="E145" s="62"/>
      <c r="F145" s="62"/>
      <c r="G145" s="62"/>
      <c r="H145" s="63"/>
      <c r="I145" s="356">
        <v>7599</v>
      </c>
      <c r="J145" s="183"/>
      <c r="K145" s="1127" t="s">
        <v>608</v>
      </c>
      <c r="L145" s="1128">
        <v>12</v>
      </c>
      <c r="M145" s="58"/>
      <c r="N145" s="307"/>
      <c r="O145" s="307"/>
      <c r="P145" s="307"/>
      <c r="Q145" s="263"/>
      <c r="R145" s="1129"/>
    </row>
    <row r="146" spans="1:18" ht="30.65" customHeight="1">
      <c r="A146" s="1350"/>
      <c r="B146" s="167" t="s">
        <v>382</v>
      </c>
      <c r="C146" s="185" t="s">
        <v>393</v>
      </c>
      <c r="D146" s="186" t="s">
        <v>78</v>
      </c>
      <c r="E146" s="62"/>
      <c r="F146" s="62"/>
      <c r="G146" s="62"/>
      <c r="H146" s="63"/>
      <c r="I146" s="356">
        <v>3906</v>
      </c>
      <c r="J146" s="183"/>
      <c r="K146" s="1127" t="s">
        <v>933</v>
      </c>
      <c r="L146" s="1128">
        <v>5</v>
      </c>
      <c r="M146" s="437"/>
      <c r="N146" s="307"/>
      <c r="O146" s="307"/>
      <c r="P146" s="438"/>
      <c r="Q146" s="263"/>
      <c r="R146" s="1142"/>
    </row>
    <row r="147" spans="1:18" ht="30.65" customHeight="1">
      <c r="A147" s="1350"/>
      <c r="B147" s="167" t="s">
        <v>382</v>
      </c>
      <c r="C147" s="187" t="s">
        <v>394</v>
      </c>
      <c r="D147" s="186" t="s">
        <v>78</v>
      </c>
      <c r="E147" s="62"/>
      <c r="F147" s="62"/>
      <c r="G147" s="62"/>
      <c r="H147" s="63"/>
      <c r="I147" s="356">
        <v>300</v>
      </c>
      <c r="J147" s="183"/>
      <c r="K147" s="1127" t="s">
        <v>608</v>
      </c>
      <c r="L147" s="1128">
        <v>12</v>
      </c>
      <c r="M147" s="437"/>
      <c r="N147" s="307"/>
      <c r="O147" s="307"/>
      <c r="P147" s="438"/>
      <c r="Q147" s="263"/>
      <c r="R147" s="1142"/>
    </row>
    <row r="148" spans="1:18" ht="30.65" customHeight="1">
      <c r="A148" s="1350"/>
      <c r="B148" s="167" t="s">
        <v>382</v>
      </c>
      <c r="C148" s="439" t="s">
        <v>934</v>
      </c>
      <c r="D148" s="186" t="s">
        <v>78</v>
      </c>
      <c r="E148" s="62"/>
      <c r="F148" s="62"/>
      <c r="G148" s="62"/>
      <c r="H148" s="63"/>
      <c r="I148" s="356">
        <v>5469</v>
      </c>
      <c r="J148" s="183"/>
      <c r="K148" s="1127" t="s">
        <v>935</v>
      </c>
      <c r="L148" s="1128">
        <v>1</v>
      </c>
      <c r="M148" s="437"/>
      <c r="N148" s="307"/>
      <c r="O148" s="307"/>
      <c r="P148" s="438"/>
      <c r="Q148" s="263"/>
      <c r="R148" s="1142"/>
    </row>
    <row r="149" spans="1:18">
      <c r="A149" s="1351"/>
      <c r="B149" s="65"/>
      <c r="C149" s="81"/>
      <c r="D149" s="120"/>
      <c r="E149" s="67"/>
      <c r="F149" s="67"/>
      <c r="G149" s="67"/>
      <c r="H149" s="66"/>
      <c r="I149" s="359">
        <f>SUM(I133:I148)</f>
        <v>49034</v>
      </c>
      <c r="J149" s="139"/>
      <c r="K149" s="111"/>
      <c r="L149" s="440">
        <f>SUM(L133:L148)</f>
        <v>153</v>
      </c>
      <c r="M149" s="441">
        <f>SUM(M133:M148)</f>
        <v>0</v>
      </c>
      <c r="N149" s="142"/>
      <c r="O149" s="432"/>
      <c r="P149" s="433"/>
      <c r="Q149" s="352">
        <f>SUM(Q133:Q148)</f>
        <v>0</v>
      </c>
      <c r="R149" s="70">
        <f>SUM(R133:R148)</f>
        <v>0</v>
      </c>
    </row>
    <row r="150" spans="1:18" ht="30.65" customHeight="1">
      <c r="A150" s="264"/>
      <c r="B150" s="1130"/>
      <c r="C150" s="152" t="s">
        <v>395</v>
      </c>
      <c r="D150" s="64"/>
      <c r="E150" s="64"/>
      <c r="F150" s="64"/>
      <c r="G150" s="129"/>
      <c r="H150" s="130"/>
      <c r="I150" s="381">
        <f t="shared" ref="I150" si="73">I169</f>
        <v>15489</v>
      </c>
      <c r="J150" s="140"/>
      <c r="K150" s="265"/>
      <c r="L150" s="266"/>
      <c r="M150" s="267"/>
      <c r="N150" s="434"/>
      <c r="O150" s="435"/>
      <c r="P150" s="436"/>
      <c r="Q150" s="351">
        <f t="shared" ref="Q150:R150" si="74">Q169</f>
        <v>0</v>
      </c>
      <c r="R150" s="489">
        <f t="shared" si="74"/>
        <v>0</v>
      </c>
    </row>
    <row r="151" spans="1:18" ht="30.65" customHeight="1">
      <c r="A151" s="281"/>
      <c r="B151" s="167" t="s">
        <v>396</v>
      </c>
      <c r="C151" s="185" t="s">
        <v>936</v>
      </c>
      <c r="D151" s="186" t="s">
        <v>78</v>
      </c>
      <c r="E151" s="62"/>
      <c r="F151" s="62"/>
      <c r="G151" s="62"/>
      <c r="H151" s="63"/>
      <c r="I151" s="356">
        <v>390</v>
      </c>
      <c r="J151" s="182"/>
      <c r="K151" s="1131" t="s">
        <v>398</v>
      </c>
      <c r="L151" s="1128">
        <v>1</v>
      </c>
      <c r="M151" s="58"/>
      <c r="N151" s="307"/>
      <c r="O151" s="307"/>
      <c r="P151" s="307"/>
      <c r="Q151" s="263"/>
      <c r="R151" s="1129"/>
    </row>
    <row r="152" spans="1:18" ht="30.65" customHeight="1">
      <c r="A152" s="281"/>
      <c r="B152" s="167" t="s">
        <v>396</v>
      </c>
      <c r="C152" s="185" t="s">
        <v>544</v>
      </c>
      <c r="D152" s="186" t="s">
        <v>78</v>
      </c>
      <c r="E152" s="62"/>
      <c r="F152" s="62"/>
      <c r="G152" s="62"/>
      <c r="H152" s="63"/>
      <c r="I152" s="356">
        <v>0</v>
      </c>
      <c r="J152" s="183"/>
      <c r="K152" s="1131"/>
      <c r="L152" s="1128">
        <v>0</v>
      </c>
      <c r="M152" s="58"/>
      <c r="N152" s="307"/>
      <c r="O152" s="307"/>
      <c r="P152" s="307"/>
      <c r="Q152" s="263"/>
      <c r="R152" s="1129"/>
    </row>
    <row r="153" spans="1:18" ht="30.65" customHeight="1">
      <c r="A153" s="281"/>
      <c r="B153" s="167" t="s">
        <v>396</v>
      </c>
      <c r="C153" s="185" t="s">
        <v>546</v>
      </c>
      <c r="D153" s="186" t="s">
        <v>78</v>
      </c>
      <c r="E153" s="62"/>
      <c r="F153" s="62"/>
      <c r="G153" s="62"/>
      <c r="H153" s="63"/>
      <c r="I153" s="356">
        <v>3000</v>
      </c>
      <c r="J153" s="183"/>
      <c r="K153" s="1131" t="s">
        <v>412</v>
      </c>
      <c r="L153" s="1128">
        <v>3</v>
      </c>
      <c r="M153" s="58"/>
      <c r="N153" s="307"/>
      <c r="O153" s="307"/>
      <c r="P153" s="307"/>
      <c r="Q153" s="263"/>
      <c r="R153" s="1129"/>
    </row>
    <row r="154" spans="1:18" ht="30.65" customHeight="1">
      <c r="A154" s="281"/>
      <c r="B154" s="167" t="s">
        <v>396</v>
      </c>
      <c r="C154" s="185" t="s">
        <v>547</v>
      </c>
      <c r="D154" s="186" t="s">
        <v>78</v>
      </c>
      <c r="E154" s="62"/>
      <c r="F154" s="62"/>
      <c r="G154" s="62"/>
      <c r="H154" s="63"/>
      <c r="I154" s="356">
        <v>352</v>
      </c>
      <c r="J154" s="183"/>
      <c r="K154" s="1131" t="s">
        <v>412</v>
      </c>
      <c r="L154" s="1128">
        <v>3</v>
      </c>
      <c r="M154" s="58"/>
      <c r="N154" s="307"/>
      <c r="O154" s="307"/>
      <c r="P154" s="307"/>
      <c r="Q154" s="263"/>
      <c r="R154" s="1129"/>
    </row>
    <row r="155" spans="1:18" ht="30.65" customHeight="1">
      <c r="A155" s="281"/>
      <c r="B155" s="167" t="s">
        <v>396</v>
      </c>
      <c r="C155" s="185" t="s">
        <v>937</v>
      </c>
      <c r="D155" s="186" t="s">
        <v>78</v>
      </c>
      <c r="E155" s="62"/>
      <c r="F155" s="62"/>
      <c r="G155" s="62"/>
      <c r="H155" s="63"/>
      <c r="I155" s="356">
        <v>390</v>
      </c>
      <c r="J155" s="183"/>
      <c r="K155" s="1131" t="s">
        <v>398</v>
      </c>
      <c r="L155" s="1128">
        <v>1</v>
      </c>
      <c r="M155" s="58"/>
      <c r="N155" s="307"/>
      <c r="O155" s="307"/>
      <c r="P155" s="307"/>
      <c r="Q155" s="263"/>
      <c r="R155" s="1129"/>
    </row>
    <row r="156" spans="1:18" ht="30.65" customHeight="1">
      <c r="A156" s="281"/>
      <c r="B156" s="167" t="s">
        <v>396</v>
      </c>
      <c r="C156" s="185" t="s">
        <v>938</v>
      </c>
      <c r="D156" s="186" t="s">
        <v>78</v>
      </c>
      <c r="E156" s="62"/>
      <c r="F156" s="62"/>
      <c r="G156" s="62"/>
      <c r="H156" s="63"/>
      <c r="I156" s="356">
        <v>1172</v>
      </c>
      <c r="J156" s="183"/>
      <c r="K156" s="1131" t="s">
        <v>412</v>
      </c>
      <c r="L156" s="1128">
        <v>1</v>
      </c>
      <c r="M156" s="58"/>
      <c r="N156" s="307"/>
      <c r="O156" s="307"/>
      <c r="P156" s="307"/>
      <c r="Q156" s="263"/>
      <c r="R156" s="1129"/>
    </row>
    <row r="157" spans="1:18" ht="30.65" customHeight="1">
      <c r="A157" s="281"/>
      <c r="B157" s="167" t="s">
        <v>396</v>
      </c>
      <c r="C157" s="185" t="s">
        <v>939</v>
      </c>
      <c r="D157" s="186" t="s">
        <v>78</v>
      </c>
      <c r="E157" s="62"/>
      <c r="F157" s="62"/>
      <c r="G157" s="62"/>
      <c r="H157" s="63"/>
      <c r="I157" s="356">
        <v>3000</v>
      </c>
      <c r="J157" s="183"/>
      <c r="K157" s="1131" t="s">
        <v>412</v>
      </c>
      <c r="L157" s="1128">
        <v>3</v>
      </c>
      <c r="M157" s="58"/>
      <c r="N157" s="307"/>
      <c r="O157" s="307"/>
      <c r="P157" s="307"/>
      <c r="Q157" s="263"/>
      <c r="R157" s="1129"/>
    </row>
    <row r="158" spans="1:18" ht="30.65" customHeight="1">
      <c r="A158" s="281"/>
      <c r="B158" s="167" t="s">
        <v>396</v>
      </c>
      <c r="C158" s="185" t="s">
        <v>940</v>
      </c>
      <c r="D158" s="186" t="s">
        <v>78</v>
      </c>
      <c r="E158" s="62"/>
      <c r="F158" s="62"/>
      <c r="G158" s="62"/>
      <c r="H158" s="63"/>
      <c r="I158" s="356">
        <v>156</v>
      </c>
      <c r="J158" s="183"/>
      <c r="K158" s="1131" t="s">
        <v>412</v>
      </c>
      <c r="L158" s="1128">
        <v>1</v>
      </c>
      <c r="M158" s="58"/>
      <c r="N158" s="307"/>
      <c r="O158" s="307"/>
      <c r="P158" s="307"/>
      <c r="Q158" s="263"/>
      <c r="R158" s="1129"/>
    </row>
    <row r="159" spans="1:18" ht="30.65" customHeight="1">
      <c r="A159" s="281"/>
      <c r="B159" s="167" t="s">
        <v>396</v>
      </c>
      <c r="C159" s="185" t="s">
        <v>941</v>
      </c>
      <c r="D159" s="186" t="s">
        <v>78</v>
      </c>
      <c r="E159" s="62"/>
      <c r="F159" s="62"/>
      <c r="G159" s="62"/>
      <c r="H159" s="63"/>
      <c r="I159" s="356">
        <v>780</v>
      </c>
      <c r="J159" s="183"/>
      <c r="K159" s="1131" t="s">
        <v>412</v>
      </c>
      <c r="L159" s="1128">
        <v>2</v>
      </c>
      <c r="M159" s="58"/>
      <c r="N159" s="307"/>
      <c r="O159" s="307"/>
      <c r="P159" s="307"/>
      <c r="Q159" s="263"/>
      <c r="R159" s="1129"/>
    </row>
    <row r="160" spans="1:18" ht="30.65" customHeight="1">
      <c r="A160" s="281"/>
      <c r="B160" s="167" t="s">
        <v>396</v>
      </c>
      <c r="C160" s="185" t="s">
        <v>942</v>
      </c>
      <c r="D160" s="186" t="s">
        <v>78</v>
      </c>
      <c r="E160" s="62"/>
      <c r="F160" s="62"/>
      <c r="G160" s="62"/>
      <c r="H160" s="63"/>
      <c r="I160" s="356">
        <v>391</v>
      </c>
      <c r="J160" s="183"/>
      <c r="K160" s="1131" t="s">
        <v>412</v>
      </c>
      <c r="L160" s="1128">
        <v>1</v>
      </c>
      <c r="M160" s="58"/>
      <c r="N160" s="307"/>
      <c r="O160" s="307"/>
      <c r="P160" s="307"/>
      <c r="Q160" s="263"/>
      <c r="R160" s="1129"/>
    </row>
    <row r="161" spans="1:51" ht="30.65" customHeight="1">
      <c r="A161" s="281"/>
      <c r="B161" s="167" t="s">
        <v>396</v>
      </c>
      <c r="C161" s="185" t="s">
        <v>943</v>
      </c>
      <c r="D161" s="186" t="s">
        <v>78</v>
      </c>
      <c r="E161" s="62"/>
      <c r="F161" s="62"/>
      <c r="G161" s="62"/>
      <c r="H161" s="63"/>
      <c r="I161" s="356">
        <v>3906</v>
      </c>
      <c r="J161" s="183"/>
      <c r="K161" s="1131" t="s">
        <v>398</v>
      </c>
      <c r="L161" s="1128">
        <v>1</v>
      </c>
      <c r="M161" s="58"/>
      <c r="N161" s="307"/>
      <c r="O161" s="307"/>
      <c r="P161" s="307"/>
      <c r="Q161" s="263"/>
      <c r="R161" s="1129"/>
    </row>
    <row r="162" spans="1:51" ht="30.65" customHeight="1">
      <c r="A162" s="281"/>
      <c r="B162" s="167" t="s">
        <v>396</v>
      </c>
      <c r="C162" s="185" t="s">
        <v>555</v>
      </c>
      <c r="D162" s="186" t="s">
        <v>78</v>
      </c>
      <c r="E162" s="62"/>
      <c r="F162" s="62"/>
      <c r="G162" s="62"/>
      <c r="H162" s="63"/>
      <c r="I162" s="356">
        <v>0</v>
      </c>
      <c r="J162" s="183"/>
      <c r="K162" s="1131"/>
      <c r="L162" s="1128">
        <v>0</v>
      </c>
      <c r="M162" s="58"/>
      <c r="N162" s="307"/>
      <c r="O162" s="307"/>
      <c r="P162" s="307"/>
      <c r="Q162" s="263"/>
      <c r="R162" s="1129"/>
    </row>
    <row r="163" spans="1:51" ht="30.65" customHeight="1">
      <c r="A163" s="281"/>
      <c r="B163" s="167" t="s">
        <v>396</v>
      </c>
      <c r="C163" s="185" t="s">
        <v>404</v>
      </c>
      <c r="D163" s="186" t="s">
        <v>78</v>
      </c>
      <c r="E163" s="62"/>
      <c r="F163" s="62"/>
      <c r="G163" s="62"/>
      <c r="H163" s="63"/>
      <c r="I163" s="356">
        <v>0</v>
      </c>
      <c r="J163" s="183"/>
      <c r="K163" s="1131"/>
      <c r="L163" s="1128">
        <v>0</v>
      </c>
      <c r="M163" s="58"/>
      <c r="N163" s="307"/>
      <c r="O163" s="307"/>
      <c r="P163" s="307"/>
      <c r="Q163" s="263"/>
      <c r="R163" s="1129"/>
    </row>
    <row r="164" spans="1:51" ht="30.65" customHeight="1">
      <c r="A164" s="281"/>
      <c r="B164" s="167" t="s">
        <v>396</v>
      </c>
      <c r="C164" s="185" t="s">
        <v>406</v>
      </c>
      <c r="D164" s="186" t="s">
        <v>78</v>
      </c>
      <c r="E164" s="62"/>
      <c r="F164" s="62"/>
      <c r="G164" s="62"/>
      <c r="H164" s="63"/>
      <c r="I164" s="356">
        <v>0</v>
      </c>
      <c r="J164" s="183"/>
      <c r="K164" s="1131"/>
      <c r="L164" s="1128">
        <v>0</v>
      </c>
      <c r="M164" s="58"/>
      <c r="N164" s="307"/>
      <c r="O164" s="307"/>
      <c r="P164" s="307"/>
      <c r="Q164" s="263"/>
      <c r="R164" s="1129"/>
    </row>
    <row r="165" spans="1:51" ht="30.65" customHeight="1">
      <c r="A165" s="281"/>
      <c r="B165" s="167" t="s">
        <v>396</v>
      </c>
      <c r="C165" s="185" t="s">
        <v>944</v>
      </c>
      <c r="D165" s="186" t="s">
        <v>78</v>
      </c>
      <c r="E165" s="62"/>
      <c r="F165" s="62"/>
      <c r="G165" s="62"/>
      <c r="H165" s="63"/>
      <c r="I165" s="356">
        <v>390</v>
      </c>
      <c r="J165" s="183"/>
      <c r="K165" s="1131" t="s">
        <v>398</v>
      </c>
      <c r="L165" s="1128">
        <v>1</v>
      </c>
      <c r="M165" s="58"/>
      <c r="N165" s="307"/>
      <c r="O165" s="307"/>
      <c r="P165" s="307"/>
      <c r="Q165" s="263"/>
      <c r="R165" s="1129"/>
    </row>
    <row r="166" spans="1:51" ht="30.65" customHeight="1">
      <c r="A166" s="281"/>
      <c r="B166" s="167" t="s">
        <v>396</v>
      </c>
      <c r="C166" s="185" t="s">
        <v>413</v>
      </c>
      <c r="D166" s="186" t="s">
        <v>78</v>
      </c>
      <c r="E166" s="62"/>
      <c r="F166" s="62"/>
      <c r="G166" s="62"/>
      <c r="H166" s="63"/>
      <c r="I166" s="356">
        <v>781</v>
      </c>
      <c r="J166" s="183"/>
      <c r="K166" s="1131" t="s">
        <v>945</v>
      </c>
      <c r="L166" s="1128">
        <v>1</v>
      </c>
      <c r="M166" s="58"/>
      <c r="N166" s="307"/>
      <c r="O166" s="307"/>
      <c r="P166" s="307"/>
      <c r="Q166" s="263"/>
      <c r="R166" s="1129"/>
    </row>
    <row r="167" spans="1:51" ht="30.65" customHeight="1">
      <c r="A167" s="281"/>
      <c r="B167" s="167" t="s">
        <v>396</v>
      </c>
      <c r="C167" s="185" t="s">
        <v>415</v>
      </c>
      <c r="D167" s="186" t="s">
        <v>78</v>
      </c>
      <c r="E167" s="62"/>
      <c r="F167" s="62"/>
      <c r="G167" s="62"/>
      <c r="H167" s="63"/>
      <c r="I167" s="356">
        <v>781</v>
      </c>
      <c r="J167" s="183"/>
      <c r="K167" s="1131" t="s">
        <v>946</v>
      </c>
      <c r="L167" s="1128">
        <v>1</v>
      </c>
      <c r="M167" s="58"/>
      <c r="N167" s="307"/>
      <c r="O167" s="307"/>
      <c r="P167" s="307"/>
      <c r="Q167" s="263"/>
      <c r="R167" s="1129"/>
    </row>
    <row r="168" spans="1:51" ht="30.65" customHeight="1">
      <c r="A168" s="281"/>
      <c r="B168" s="167" t="s">
        <v>396</v>
      </c>
      <c r="C168" s="187" t="s">
        <v>417</v>
      </c>
      <c r="D168" s="186" t="s">
        <v>78</v>
      </c>
      <c r="E168" s="62"/>
      <c r="F168" s="62"/>
      <c r="G168" s="62"/>
      <c r="H168" s="63"/>
      <c r="I168" s="356">
        <v>0</v>
      </c>
      <c r="J168" s="183"/>
      <c r="K168" s="1131"/>
      <c r="L168" s="1128">
        <v>0</v>
      </c>
      <c r="M168" s="58"/>
      <c r="N168" s="307"/>
      <c r="O168" s="307"/>
      <c r="P168" s="307"/>
      <c r="Q168" s="263"/>
      <c r="R168" s="1129"/>
    </row>
    <row r="169" spans="1:51" ht="18.5">
      <c r="A169" s="383"/>
      <c r="B169" s="65"/>
      <c r="C169" s="81"/>
      <c r="D169" s="120"/>
      <c r="E169" s="67"/>
      <c r="F169" s="67"/>
      <c r="G169" s="67"/>
      <c r="H169" s="66"/>
      <c r="I169" s="359">
        <f>SUM(I151:I168)</f>
        <v>15489</v>
      </c>
      <c r="J169" s="139"/>
      <c r="K169" s="111"/>
      <c r="L169" s="440">
        <f>SUM(L151:L168)</f>
        <v>20</v>
      </c>
      <c r="M169" s="274"/>
      <c r="N169" s="142"/>
      <c r="O169" s="432"/>
      <c r="P169" s="433"/>
      <c r="Q169" s="352">
        <f>SUM(Q151:Q168)</f>
        <v>0</v>
      </c>
      <c r="R169" s="70">
        <f>SUM(R151:R168)</f>
        <v>0</v>
      </c>
    </row>
    <row r="170" spans="1:51" ht="30.65" customHeight="1">
      <c r="A170" s="264"/>
      <c r="B170" s="1130"/>
      <c r="C170" s="152" t="s">
        <v>420</v>
      </c>
      <c r="D170" s="64"/>
      <c r="E170" s="64"/>
      <c r="F170" s="64"/>
      <c r="G170" s="129"/>
      <c r="H170" s="130"/>
      <c r="I170" s="381">
        <v>207035</v>
      </c>
      <c r="J170" s="140"/>
      <c r="K170" s="265"/>
      <c r="L170" s="266"/>
      <c r="M170" s="267"/>
      <c r="N170" s="141"/>
      <c r="O170" s="282"/>
      <c r="P170" s="283"/>
      <c r="Q170" s="351"/>
      <c r="R170" s="489"/>
    </row>
    <row r="171" spans="1:51" s="451" customFormat="1" ht="35.25" customHeight="1" thickBot="1">
      <c r="A171" s="268" t="s">
        <v>437</v>
      </c>
      <c r="B171" s="269"/>
      <c r="C171" s="270"/>
      <c r="D171" s="270"/>
      <c r="E171" s="1352" t="s">
        <v>947</v>
      </c>
      <c r="F171" s="1353"/>
      <c r="G171" s="1353"/>
      <c r="H171" s="1354"/>
      <c r="I171" s="446">
        <f>I5+I131</f>
        <v>2718455</v>
      </c>
      <c r="J171" s="137"/>
      <c r="K171" s="447"/>
      <c r="L171" s="448"/>
      <c r="M171" s="449"/>
      <c r="N171" s="118"/>
      <c r="O171" s="450"/>
      <c r="P171" s="450"/>
      <c r="Q171" s="349">
        <f>Q5+Q131</f>
        <v>0</v>
      </c>
      <c r="R171" s="271">
        <f>R5+R131</f>
        <v>0</v>
      </c>
      <c r="S171"/>
      <c r="T171"/>
      <c r="U171"/>
    </row>
    <row r="172" spans="1:51" ht="31">
      <c r="A172" s="1108"/>
      <c r="B172" s="1108"/>
      <c r="C172" s="1108"/>
      <c r="D172" s="1132" t="s">
        <v>439</v>
      </c>
      <c r="E172" s="159"/>
      <c r="F172" s="159"/>
      <c r="G172" s="159"/>
      <c r="H172" s="1133"/>
      <c r="I172" s="1134"/>
      <c r="J172" s="1136"/>
      <c r="K172" s="1136"/>
      <c r="L172" s="1136"/>
      <c r="M172" s="1108"/>
      <c r="N172" s="1108"/>
      <c r="O172" s="659" t="s">
        <v>440</v>
      </c>
      <c r="P172" s="660">
        <f>IFERROR(AVERAGE(N8:N16,N19:N19,N21:N24, N26:N28,N32:N34,N37:N39,N41:N42,N44:N46,N50:N55,N57:N62,N64:N70,N73:N76,N78:N82,N84:N87,N90:N92,N94:N97,N101:N103,N105:N109,N112:N120,N123:N129),"")</f>
        <v>0.60109280637058415</v>
      </c>
      <c r="Q172" s="163" t="s">
        <v>441</v>
      </c>
      <c r="R172" s="160"/>
    </row>
    <row r="173" spans="1:51" ht="32.25" customHeight="1">
      <c r="A173" s="1108"/>
      <c r="B173" s="1108"/>
      <c r="C173" s="1108"/>
      <c r="D173" s="1137" t="s">
        <v>442</v>
      </c>
      <c r="E173" s="164"/>
      <c r="F173" s="164"/>
      <c r="G173" s="164"/>
      <c r="H173" s="1138"/>
      <c r="I173" s="1138"/>
      <c r="J173" s="1139"/>
      <c r="K173" s="1136"/>
      <c r="L173" s="1136"/>
      <c r="M173" s="1108"/>
      <c r="N173" s="1108"/>
      <c r="O173" s="1108"/>
      <c r="P173" s="1108"/>
      <c r="Q173" s="1108"/>
      <c r="R173" s="1108"/>
    </row>
    <row r="176" spans="1:51" ht="15.5">
      <c r="A176" s="1108"/>
      <c r="B176" s="1108"/>
      <c r="C176" s="1108"/>
      <c r="D176" s="1108"/>
      <c r="J176" s="1139"/>
      <c r="K176" s="1108"/>
      <c r="L176" s="1108"/>
      <c r="M176" s="1108"/>
      <c r="N176" s="1108"/>
      <c r="O176" s="1108"/>
      <c r="P176" s="1108"/>
      <c r="Q176" s="1108"/>
      <c r="R176" s="1108"/>
      <c r="V176" s="1264" t="s">
        <v>443</v>
      </c>
      <c r="W176" s="1265" t="s">
        <v>444</v>
      </c>
      <c r="X176" s="1264" t="s">
        <v>445</v>
      </c>
      <c r="Y176" s="1262" t="s">
        <v>446</v>
      </c>
      <c r="Z176" s="1262" t="s">
        <v>447</v>
      </c>
      <c r="AA176" s="1264" t="s">
        <v>448</v>
      </c>
      <c r="AB176" s="1264"/>
      <c r="AC176" s="1264"/>
      <c r="AD176" s="1264"/>
      <c r="AE176" s="1265" t="s">
        <v>241</v>
      </c>
      <c r="AF176" s="1265" t="s">
        <v>242</v>
      </c>
      <c r="AG176" s="1267" t="s">
        <v>449</v>
      </c>
      <c r="AH176" s="1267" t="s">
        <v>450</v>
      </c>
      <c r="AI176" s="392" t="s">
        <v>451</v>
      </c>
      <c r="AJ176" s="1258" t="s">
        <v>452</v>
      </c>
      <c r="AK176" s="1258"/>
      <c r="AL176" s="1258"/>
      <c r="AM176" s="1258"/>
      <c r="AN176" s="1258"/>
      <c r="AO176" s="1259" t="s">
        <v>453</v>
      </c>
      <c r="AP176" s="1260"/>
      <c r="AQ176" s="1260"/>
      <c r="AR176" s="1260"/>
      <c r="AS176" s="1260"/>
      <c r="AT176" s="1260"/>
      <c r="AU176" s="1261"/>
      <c r="AV176" s="1258" t="s">
        <v>454</v>
      </c>
      <c r="AW176" s="1258"/>
      <c r="AX176" s="1258"/>
      <c r="AY176" s="1262" t="s">
        <v>455</v>
      </c>
    </row>
    <row r="177" spans="1:51" ht="77.5">
      <c r="A177" s="1108"/>
      <c r="B177" s="1108"/>
      <c r="C177" s="1108"/>
      <c r="D177" s="1108"/>
      <c r="J177" s="1139"/>
      <c r="K177" s="1108"/>
      <c r="L177" s="1108"/>
      <c r="M177" s="1108"/>
      <c r="N177" s="1108"/>
      <c r="O177" s="1108"/>
      <c r="P177" s="1108"/>
      <c r="Q177" s="1108"/>
      <c r="R177" s="1108"/>
      <c r="V177" s="1264"/>
      <c r="W177" s="1266"/>
      <c r="X177" s="1264"/>
      <c r="Y177" s="1263"/>
      <c r="Z177" s="1263"/>
      <c r="AA177" s="391" t="s">
        <v>248</v>
      </c>
      <c r="AB177" s="391" t="s">
        <v>249</v>
      </c>
      <c r="AC177" s="391" t="s">
        <v>250</v>
      </c>
      <c r="AD177" s="391" t="s">
        <v>251</v>
      </c>
      <c r="AE177" s="1266"/>
      <c r="AF177" s="1266"/>
      <c r="AG177" s="1268"/>
      <c r="AH177" s="1268"/>
      <c r="AI177" s="394"/>
      <c r="AJ177" s="393" t="s">
        <v>456</v>
      </c>
      <c r="AK177" s="393" t="s">
        <v>457</v>
      </c>
      <c r="AL177" s="393" t="s">
        <v>458</v>
      </c>
      <c r="AM177" s="393" t="s">
        <v>459</v>
      </c>
      <c r="AN177" s="393" t="s">
        <v>460</v>
      </c>
      <c r="AO177" s="393" t="s">
        <v>461</v>
      </c>
      <c r="AP177" s="393" t="s">
        <v>462</v>
      </c>
      <c r="AQ177" s="393" t="s">
        <v>463</v>
      </c>
      <c r="AR177" s="393" t="s">
        <v>464</v>
      </c>
      <c r="AS177" s="393" t="s">
        <v>465</v>
      </c>
      <c r="AT177" s="393" t="s">
        <v>466</v>
      </c>
      <c r="AU177" s="393" t="s">
        <v>467</v>
      </c>
      <c r="AV177" s="393" t="s">
        <v>468</v>
      </c>
      <c r="AW177" s="393" t="s">
        <v>469</v>
      </c>
      <c r="AX177" s="393" t="s">
        <v>470</v>
      </c>
      <c r="AY177" s="1263"/>
    </row>
    <row r="178" spans="1:51" ht="15.5">
      <c r="A178" s="1108"/>
      <c r="B178" s="1108"/>
      <c r="C178" s="1108"/>
      <c r="D178" s="1108"/>
      <c r="J178" s="1139"/>
      <c r="K178" s="1108"/>
      <c r="L178" s="1108"/>
      <c r="M178" s="1108"/>
      <c r="N178" s="1108"/>
      <c r="O178" s="1108"/>
      <c r="P178" s="1108"/>
      <c r="Q178" s="1108"/>
      <c r="R178" s="1108"/>
      <c r="V178" s="395"/>
      <c r="W178" s="396"/>
      <c r="X178" s="395"/>
      <c r="Y178" s="397"/>
      <c r="Z178" s="397"/>
      <c r="AA178" s="395"/>
      <c r="AB178" s="395"/>
      <c r="AC178" s="395"/>
      <c r="AD178" s="395"/>
      <c r="AE178" s="396"/>
      <c r="AF178" s="398"/>
      <c r="AG178" s="399"/>
      <c r="AH178" s="399"/>
      <c r="AI178" s="400"/>
      <c r="AJ178" s="401"/>
      <c r="AK178" s="401"/>
      <c r="AL178" s="401"/>
      <c r="AM178" s="401"/>
      <c r="AN178" s="401"/>
      <c r="AO178" s="401"/>
      <c r="AP178" s="401"/>
      <c r="AQ178" s="401"/>
      <c r="AR178" s="401"/>
      <c r="AS178" s="401"/>
      <c r="AT178" s="401"/>
      <c r="AU178" s="401"/>
      <c r="AV178" s="399"/>
      <c r="AW178" s="399"/>
      <c r="AX178" s="399"/>
      <c r="AY178" s="397"/>
    </row>
    <row r="179" spans="1:51" ht="15.5">
      <c r="A179" s="390"/>
      <c r="B179" s="1108"/>
      <c r="C179" s="1108"/>
      <c r="D179" s="1108"/>
      <c r="J179" s="1139"/>
      <c r="K179" s="1108"/>
      <c r="L179" s="1108"/>
      <c r="M179" s="1108"/>
      <c r="N179" s="1108"/>
      <c r="O179" s="1108"/>
      <c r="P179" s="1108"/>
      <c r="Q179" s="1108"/>
      <c r="R179" s="1108"/>
      <c r="V179" s="316"/>
      <c r="W179" s="317"/>
      <c r="X179" s="316"/>
      <c r="Y179" s="316" t="s">
        <v>471</v>
      </c>
      <c r="Z179" s="316"/>
      <c r="AA179" s="316">
        <f>SUM(AA180:AA194)</f>
        <v>0</v>
      </c>
      <c r="AB179" s="316">
        <f>SUM(AB180:AB194)</f>
        <v>0</v>
      </c>
      <c r="AC179" s="316">
        <f>SUM(AC180:AC194)</f>
        <v>0</v>
      </c>
      <c r="AD179" s="316">
        <f>SUM(AD180:AD194)</f>
        <v>0</v>
      </c>
      <c r="AE179" s="318"/>
      <c r="AF179" s="319"/>
      <c r="AG179" s="320"/>
      <c r="AH179" s="320">
        <f t="shared" ref="AH179" si="75">SUM(AH180:AH194)</f>
        <v>341694.20454545459</v>
      </c>
      <c r="AI179" s="321"/>
      <c r="AJ179" s="320">
        <f>SUM(AJ180:AJ194)</f>
        <v>58379.868749999994</v>
      </c>
      <c r="AK179" s="320">
        <f t="shared" ref="AK179:AT179" si="76">SUM(AK180:AK194)</f>
        <v>41832.346022727274</v>
      </c>
      <c r="AL179" s="320">
        <f t="shared" si="76"/>
        <v>133332.87613636366</v>
      </c>
      <c r="AM179" s="320">
        <f>SUM(AM180:AM194)</f>
        <v>62713.227272727265</v>
      </c>
      <c r="AN179" s="320">
        <f t="shared" si="76"/>
        <v>45435.88636363636</v>
      </c>
      <c r="AO179" s="320">
        <f t="shared" si="76"/>
        <v>56949.034090909088</v>
      </c>
      <c r="AP179" s="320">
        <f>SUM(AP180:AP194)</f>
        <v>56949.034090909088</v>
      </c>
      <c r="AQ179" s="320">
        <f t="shared" si="76"/>
        <v>56949.034090909088</v>
      </c>
      <c r="AR179" s="320">
        <f t="shared" si="76"/>
        <v>56949.034090909088</v>
      </c>
      <c r="AS179" s="320">
        <f t="shared" si="76"/>
        <v>56949.034090909088</v>
      </c>
      <c r="AT179" s="320">
        <f t="shared" si="76"/>
        <v>56949.034090909088</v>
      </c>
      <c r="AU179" s="320">
        <f>SUM(AU180:AU194)</f>
        <v>341694.20454545459</v>
      </c>
      <c r="AV179" s="320">
        <f t="shared" ref="AV179:AX179" si="77">SUM(AV180:AV194)</f>
        <v>341694.20454545459</v>
      </c>
      <c r="AW179" s="320">
        <f t="shared" si="77"/>
        <v>0</v>
      </c>
      <c r="AX179" s="320">
        <f t="shared" si="77"/>
        <v>341694.20454545459</v>
      </c>
      <c r="AY179" s="322"/>
    </row>
    <row r="180" spans="1:51" ht="15.5">
      <c r="A180" s="1108"/>
      <c r="B180" s="1108"/>
      <c r="C180" s="1108"/>
      <c r="D180" s="1108"/>
      <c r="J180" s="1139"/>
      <c r="K180" s="1108"/>
      <c r="L180" s="1108"/>
      <c r="M180" s="1108"/>
      <c r="N180" s="1108"/>
      <c r="O180" s="1108"/>
      <c r="P180" s="1108"/>
      <c r="Q180" s="1108"/>
      <c r="R180" s="1108"/>
      <c r="V180" s="323" t="s">
        <v>421</v>
      </c>
      <c r="W180" s="324"/>
      <c r="X180" s="323"/>
      <c r="Y180" s="325" t="s">
        <v>422</v>
      </c>
      <c r="Z180" s="326" t="s">
        <v>78</v>
      </c>
      <c r="AA180" s="327"/>
      <c r="AB180" s="327"/>
      <c r="AC180" s="327"/>
      <c r="AD180" s="327"/>
      <c r="AE180" s="328" t="s">
        <v>472</v>
      </c>
      <c r="AF180" s="329">
        <v>15</v>
      </c>
      <c r="AG180" s="330">
        <v>2424.5454545454545</v>
      </c>
      <c r="AH180" s="330">
        <f t="shared" ref="AH180:AH194" si="78">AG180*AF180</f>
        <v>36368.181818181816</v>
      </c>
      <c r="AI180" s="331"/>
      <c r="AJ180" s="332">
        <v>18184.090909090908</v>
      </c>
      <c r="AK180" s="332">
        <v>3636.818181818182</v>
      </c>
      <c r="AL180" s="332">
        <v>7273.636363636364</v>
      </c>
      <c r="AM180" s="332">
        <v>1818.409090909091</v>
      </c>
      <c r="AN180" s="332">
        <v>5455.2272727272721</v>
      </c>
      <c r="AO180" s="333">
        <f>AH180/6</f>
        <v>6061.363636363636</v>
      </c>
      <c r="AP180" s="333">
        <v>6061.363636363636</v>
      </c>
      <c r="AQ180" s="333">
        <v>6061.363636363636</v>
      </c>
      <c r="AR180" s="333">
        <v>6061.363636363636</v>
      </c>
      <c r="AS180" s="333">
        <v>6061.363636363636</v>
      </c>
      <c r="AT180" s="333">
        <v>6061.363636363636</v>
      </c>
      <c r="AU180" s="334">
        <f t="shared" ref="AU180:AU194" si="79">AF180*AG180</f>
        <v>36368.181818181816</v>
      </c>
      <c r="AV180" s="334">
        <f>AU180</f>
        <v>36368.181818181816</v>
      </c>
      <c r="AW180" s="334">
        <f t="shared" ref="AW180:AW194" si="80">AH180-AV180</f>
        <v>0</v>
      </c>
      <c r="AX180" s="334">
        <f>AW180+AV180</f>
        <v>36368.181818181816</v>
      </c>
      <c r="AY180" s="335"/>
    </row>
    <row r="181" spans="1:51" ht="15.5">
      <c r="A181" s="1108"/>
      <c r="B181" s="1108"/>
      <c r="C181" s="1108"/>
      <c r="D181" s="1108"/>
      <c r="J181" s="1139"/>
      <c r="K181" s="1108"/>
      <c r="L181" s="1108"/>
      <c r="M181" s="1108"/>
      <c r="N181" s="1108"/>
      <c r="O181" s="1108"/>
      <c r="P181" s="1108"/>
      <c r="Q181" s="1108"/>
      <c r="R181" s="1108"/>
      <c r="V181" s="323" t="s">
        <v>421</v>
      </c>
      <c r="W181" s="324"/>
      <c r="X181" s="323"/>
      <c r="Y181" s="325" t="s">
        <v>423</v>
      </c>
      <c r="Z181" s="326" t="s">
        <v>78</v>
      </c>
      <c r="AA181" s="327"/>
      <c r="AB181" s="327"/>
      <c r="AC181" s="327"/>
      <c r="AD181" s="327"/>
      <c r="AE181" s="328" t="s">
        <v>472</v>
      </c>
      <c r="AF181" s="329">
        <v>15</v>
      </c>
      <c r="AG181" s="330">
        <v>2239.3636363636365</v>
      </c>
      <c r="AH181" s="330">
        <f t="shared" si="78"/>
        <v>33590.454545454544</v>
      </c>
      <c r="AI181" s="331"/>
      <c r="AJ181" s="332">
        <v>6718.090909090909</v>
      </c>
      <c r="AK181" s="332">
        <v>6718.090909090909</v>
      </c>
      <c r="AL181" s="332">
        <v>11756.65909090909</v>
      </c>
      <c r="AM181" s="332">
        <v>3359.0454545454545</v>
      </c>
      <c r="AN181" s="332">
        <v>5038.5681818181811</v>
      </c>
      <c r="AO181" s="333">
        <f t="shared" ref="AO181:AO194" si="81">AH181/6</f>
        <v>5598.409090909091</v>
      </c>
      <c r="AP181" s="333">
        <v>5598.409090909091</v>
      </c>
      <c r="AQ181" s="333">
        <v>5598.409090909091</v>
      </c>
      <c r="AR181" s="333">
        <v>5598.409090909091</v>
      </c>
      <c r="AS181" s="333">
        <v>5598.409090909091</v>
      </c>
      <c r="AT181" s="333">
        <v>5598.409090909091</v>
      </c>
      <c r="AU181" s="334">
        <f t="shared" si="79"/>
        <v>33590.454545454544</v>
      </c>
      <c r="AV181" s="334">
        <f t="shared" ref="AV181:AV194" si="82">AU181</f>
        <v>33590.454545454544</v>
      </c>
      <c r="AW181" s="334">
        <f t="shared" si="80"/>
        <v>0</v>
      </c>
      <c r="AX181" s="334">
        <f t="shared" ref="AX181:AX194" si="83">AW181+AV181</f>
        <v>33590.454545454544</v>
      </c>
      <c r="AY181" s="335"/>
    </row>
    <row r="182" spans="1:51" ht="31">
      <c r="A182" s="1108"/>
      <c r="B182" s="1108"/>
      <c r="C182" s="1108"/>
      <c r="D182" s="1108"/>
      <c r="J182" s="1139"/>
      <c r="K182" s="1108"/>
      <c r="L182" s="1108"/>
      <c r="M182" s="1108"/>
      <c r="N182" s="1108"/>
      <c r="O182" s="1108"/>
      <c r="P182" s="1108"/>
      <c r="Q182" s="1108"/>
      <c r="R182" s="1108"/>
      <c r="V182" s="323" t="s">
        <v>421</v>
      </c>
      <c r="W182" s="324"/>
      <c r="X182" s="323"/>
      <c r="Y182" s="325" t="s">
        <v>424</v>
      </c>
      <c r="Z182" s="326" t="s">
        <v>78</v>
      </c>
      <c r="AA182" s="327"/>
      <c r="AB182" s="327"/>
      <c r="AC182" s="327"/>
      <c r="AD182" s="327"/>
      <c r="AE182" s="328" t="s">
        <v>472</v>
      </c>
      <c r="AF182" s="329">
        <v>15</v>
      </c>
      <c r="AG182" s="330">
        <v>1860.409090909091</v>
      </c>
      <c r="AH182" s="330">
        <f t="shared" si="78"/>
        <v>27906.136363636364</v>
      </c>
      <c r="AI182" s="331"/>
      <c r="AJ182" s="332">
        <v>3488.2670454545455</v>
      </c>
      <c r="AK182" s="332">
        <v>3488.2670454545455</v>
      </c>
      <c r="AL182" s="332">
        <v>9767.1477272727261</v>
      </c>
      <c r="AM182" s="332">
        <v>5581.227272727273</v>
      </c>
      <c r="AN182" s="332">
        <v>5581.227272727273</v>
      </c>
      <c r="AO182" s="333">
        <f t="shared" si="81"/>
        <v>4651.022727272727</v>
      </c>
      <c r="AP182" s="333">
        <v>4651.022727272727</v>
      </c>
      <c r="AQ182" s="333">
        <v>4651.022727272727</v>
      </c>
      <c r="AR182" s="333">
        <v>4651.022727272727</v>
      </c>
      <c r="AS182" s="333">
        <v>4651.022727272727</v>
      </c>
      <c r="AT182" s="333">
        <v>4651.022727272727</v>
      </c>
      <c r="AU182" s="334">
        <f t="shared" si="79"/>
        <v>27906.136363636364</v>
      </c>
      <c r="AV182" s="334">
        <f t="shared" si="82"/>
        <v>27906.136363636364</v>
      </c>
      <c r="AW182" s="334">
        <f t="shared" si="80"/>
        <v>0</v>
      </c>
      <c r="AX182" s="334">
        <f t="shared" si="83"/>
        <v>27906.136363636364</v>
      </c>
      <c r="AY182" s="335"/>
    </row>
    <row r="183" spans="1:51" ht="15.5">
      <c r="A183" s="1108"/>
      <c r="B183" s="1108"/>
      <c r="C183" s="1108"/>
      <c r="D183" s="1108"/>
      <c r="J183" s="1139"/>
      <c r="K183" s="1108"/>
      <c r="L183" s="1108"/>
      <c r="M183" s="1108"/>
      <c r="N183" s="1108"/>
      <c r="O183" s="1108"/>
      <c r="P183" s="1108"/>
      <c r="Q183" s="1108"/>
      <c r="R183" s="1108"/>
      <c r="V183" s="323" t="s">
        <v>421</v>
      </c>
      <c r="W183" s="324"/>
      <c r="X183" s="323"/>
      <c r="Y183" s="325" t="s">
        <v>425</v>
      </c>
      <c r="Z183" s="326" t="s">
        <v>78</v>
      </c>
      <c r="AA183" s="327"/>
      <c r="AB183" s="327"/>
      <c r="AC183" s="327"/>
      <c r="AD183" s="327"/>
      <c r="AE183" s="328" t="s">
        <v>472</v>
      </c>
      <c r="AF183" s="329">
        <v>15</v>
      </c>
      <c r="AG183" s="330">
        <v>1403.1818181818182</v>
      </c>
      <c r="AH183" s="330">
        <f t="shared" si="78"/>
        <v>21047.727272727272</v>
      </c>
      <c r="AI183" s="331"/>
      <c r="AJ183" s="332">
        <v>3157.1590909090905</v>
      </c>
      <c r="AK183" s="332">
        <v>3157.1590909090905</v>
      </c>
      <c r="AL183" s="332">
        <v>10523.863636363636</v>
      </c>
      <c r="AM183" s="332">
        <v>4209.545454545455</v>
      </c>
      <c r="AN183" s="332">
        <v>0</v>
      </c>
      <c r="AO183" s="333">
        <f t="shared" si="81"/>
        <v>3507.9545454545455</v>
      </c>
      <c r="AP183" s="333">
        <v>3507.9545454545455</v>
      </c>
      <c r="AQ183" s="333">
        <v>3507.9545454545455</v>
      </c>
      <c r="AR183" s="333">
        <v>3507.9545454545455</v>
      </c>
      <c r="AS183" s="333">
        <v>3507.9545454545455</v>
      </c>
      <c r="AT183" s="333">
        <v>3507.9545454545455</v>
      </c>
      <c r="AU183" s="334">
        <f t="shared" si="79"/>
        <v>21047.727272727272</v>
      </c>
      <c r="AV183" s="334">
        <f t="shared" si="82"/>
        <v>21047.727272727272</v>
      </c>
      <c r="AW183" s="334">
        <f t="shared" si="80"/>
        <v>0</v>
      </c>
      <c r="AX183" s="334">
        <f t="shared" si="83"/>
        <v>21047.727272727272</v>
      </c>
      <c r="AY183" s="335"/>
    </row>
    <row r="184" spans="1:51" ht="15.5">
      <c r="A184" s="1108"/>
      <c r="B184" s="1108"/>
      <c r="C184" s="1108"/>
      <c r="D184" s="1108"/>
      <c r="J184" s="1139"/>
      <c r="K184" s="1108"/>
      <c r="L184" s="1108"/>
      <c r="M184" s="1108"/>
      <c r="N184" s="1108"/>
      <c r="O184" s="1108"/>
      <c r="P184" s="1108"/>
      <c r="Q184" s="1108"/>
      <c r="R184" s="1108"/>
      <c r="V184" s="323" t="s">
        <v>421</v>
      </c>
      <c r="W184" s="324"/>
      <c r="X184" s="323"/>
      <c r="Y184" s="325" t="s">
        <v>426</v>
      </c>
      <c r="Z184" s="326" t="s">
        <v>78</v>
      </c>
      <c r="AA184" s="327"/>
      <c r="AB184" s="327"/>
      <c r="AC184" s="327"/>
      <c r="AD184" s="327"/>
      <c r="AE184" s="328" t="s">
        <v>472</v>
      </c>
      <c r="AF184" s="329">
        <v>15</v>
      </c>
      <c r="AG184" s="336">
        <v>1343.0454545454545</v>
      </c>
      <c r="AH184" s="330">
        <f t="shared" si="78"/>
        <v>20145.681818181816</v>
      </c>
      <c r="AI184" s="331"/>
      <c r="AJ184" s="332">
        <v>2014.568181818182</v>
      </c>
      <c r="AK184" s="332">
        <v>4029.136363636364</v>
      </c>
      <c r="AL184" s="332">
        <v>10072.84090909091</v>
      </c>
      <c r="AM184" s="332">
        <v>4029.136363636364</v>
      </c>
      <c r="AN184" s="332">
        <v>0</v>
      </c>
      <c r="AO184" s="333">
        <f t="shared" si="81"/>
        <v>3357.613636363636</v>
      </c>
      <c r="AP184" s="333">
        <v>3357.613636363636</v>
      </c>
      <c r="AQ184" s="333">
        <v>3357.613636363636</v>
      </c>
      <c r="AR184" s="333">
        <v>3357.613636363636</v>
      </c>
      <c r="AS184" s="333">
        <v>3357.613636363636</v>
      </c>
      <c r="AT184" s="333">
        <v>3357.613636363636</v>
      </c>
      <c r="AU184" s="334">
        <f t="shared" si="79"/>
        <v>20145.681818181816</v>
      </c>
      <c r="AV184" s="334">
        <f t="shared" si="82"/>
        <v>20145.681818181816</v>
      </c>
      <c r="AW184" s="334">
        <f t="shared" si="80"/>
        <v>0</v>
      </c>
      <c r="AX184" s="334">
        <f t="shared" si="83"/>
        <v>20145.681818181816</v>
      </c>
      <c r="AY184" s="335"/>
    </row>
    <row r="185" spans="1:51" ht="46.5">
      <c r="A185" s="1108"/>
      <c r="B185" s="1108"/>
      <c r="C185" s="1108"/>
      <c r="D185" s="1108"/>
      <c r="J185" s="1139"/>
      <c r="K185" s="1108"/>
      <c r="L185" s="1108"/>
      <c r="M185" s="1108"/>
      <c r="N185" s="1108"/>
      <c r="O185" s="1108"/>
      <c r="P185" s="1108"/>
      <c r="Q185" s="1108"/>
      <c r="R185" s="1108"/>
      <c r="V185" s="323" t="s">
        <v>421</v>
      </c>
      <c r="W185" s="324"/>
      <c r="X185" s="323"/>
      <c r="Y185" s="325" t="s">
        <v>427</v>
      </c>
      <c r="Z185" s="326" t="s">
        <v>78</v>
      </c>
      <c r="AA185" s="327"/>
      <c r="AB185" s="327"/>
      <c r="AC185" s="327"/>
      <c r="AD185" s="327"/>
      <c r="AE185" s="328" t="s">
        <v>472</v>
      </c>
      <c r="AF185" s="329">
        <v>15</v>
      </c>
      <c r="AG185" s="336">
        <v>1343.0454545454545</v>
      </c>
      <c r="AH185" s="330">
        <f t="shared" si="78"/>
        <v>20145.681818181816</v>
      </c>
      <c r="AI185" s="331"/>
      <c r="AJ185" s="332">
        <v>2518.2102272727275</v>
      </c>
      <c r="AK185" s="332">
        <v>2518.2102272727275</v>
      </c>
      <c r="AL185" s="332">
        <v>7050.9886363636369</v>
      </c>
      <c r="AM185" s="332">
        <v>4029.136363636364</v>
      </c>
      <c r="AN185" s="332">
        <v>4029.136363636364</v>
      </c>
      <c r="AO185" s="333">
        <f t="shared" si="81"/>
        <v>3357.613636363636</v>
      </c>
      <c r="AP185" s="333">
        <v>3357.613636363636</v>
      </c>
      <c r="AQ185" s="333">
        <v>3357.613636363636</v>
      </c>
      <c r="AR185" s="333">
        <v>3357.613636363636</v>
      </c>
      <c r="AS185" s="333">
        <v>3357.613636363636</v>
      </c>
      <c r="AT185" s="333">
        <v>3357.613636363636</v>
      </c>
      <c r="AU185" s="334">
        <f t="shared" si="79"/>
        <v>20145.681818181816</v>
      </c>
      <c r="AV185" s="334">
        <f t="shared" si="82"/>
        <v>20145.681818181816</v>
      </c>
      <c r="AW185" s="334">
        <f t="shared" si="80"/>
        <v>0</v>
      </c>
      <c r="AX185" s="334">
        <f t="shared" si="83"/>
        <v>20145.681818181816</v>
      </c>
      <c r="AY185" s="335"/>
    </row>
    <row r="186" spans="1:51" ht="46.5">
      <c r="A186" s="1108"/>
      <c r="B186" s="1108"/>
      <c r="C186" s="1108"/>
      <c r="D186" s="1108"/>
      <c r="J186" s="1139"/>
      <c r="K186" s="1108"/>
      <c r="L186" s="1108"/>
      <c r="M186" s="1108"/>
      <c r="N186" s="1108"/>
      <c r="O186" s="1108"/>
      <c r="P186" s="1108"/>
      <c r="Q186" s="1108"/>
      <c r="R186" s="1108"/>
      <c r="V186" s="323" t="s">
        <v>421</v>
      </c>
      <c r="W186" s="324"/>
      <c r="X186" s="323"/>
      <c r="Y186" s="325" t="s">
        <v>428</v>
      </c>
      <c r="Z186" s="326" t="s">
        <v>78</v>
      </c>
      <c r="AA186" s="327"/>
      <c r="AB186" s="327"/>
      <c r="AC186" s="327"/>
      <c r="AD186" s="327"/>
      <c r="AE186" s="328" t="s">
        <v>472</v>
      </c>
      <c r="AF186" s="329">
        <v>15</v>
      </c>
      <c r="AG186" s="330">
        <v>1363.090909090909</v>
      </c>
      <c r="AH186" s="330">
        <f t="shared" si="78"/>
        <v>20446.363636363636</v>
      </c>
      <c r="AI186" s="331"/>
      <c r="AJ186" s="332">
        <v>0</v>
      </c>
      <c r="AK186" s="332">
        <v>0</v>
      </c>
      <c r="AL186" s="332">
        <v>0</v>
      </c>
      <c r="AM186" s="332">
        <v>20446.363636363636</v>
      </c>
      <c r="AN186" s="332">
        <v>0</v>
      </c>
      <c r="AO186" s="333">
        <f t="shared" si="81"/>
        <v>3407.7272727272725</v>
      </c>
      <c r="AP186" s="333">
        <v>3407.7272727272725</v>
      </c>
      <c r="AQ186" s="333">
        <v>3407.7272727272725</v>
      </c>
      <c r="AR186" s="333">
        <v>3407.7272727272725</v>
      </c>
      <c r="AS186" s="333">
        <v>3407.7272727272725</v>
      </c>
      <c r="AT186" s="333">
        <v>3407.7272727272725</v>
      </c>
      <c r="AU186" s="334">
        <f t="shared" si="79"/>
        <v>20446.363636363636</v>
      </c>
      <c r="AV186" s="334">
        <f t="shared" si="82"/>
        <v>20446.363636363636</v>
      </c>
      <c r="AW186" s="334">
        <f t="shared" si="80"/>
        <v>0</v>
      </c>
      <c r="AX186" s="334">
        <f t="shared" si="83"/>
        <v>20446.363636363636</v>
      </c>
      <c r="AY186" s="335"/>
    </row>
    <row r="187" spans="1:51" ht="31">
      <c r="A187" s="1108"/>
      <c r="B187" s="1108"/>
      <c r="C187" s="1108"/>
      <c r="D187" s="1108"/>
      <c r="J187" s="1139"/>
      <c r="K187" s="1108"/>
      <c r="L187" s="1108"/>
      <c r="M187" s="1108"/>
      <c r="N187" s="1108"/>
      <c r="O187" s="1108"/>
      <c r="P187" s="1108"/>
      <c r="Q187" s="1108"/>
      <c r="R187" s="1108"/>
      <c r="V187" s="323" t="s">
        <v>421</v>
      </c>
      <c r="W187" s="324"/>
      <c r="X187" s="323"/>
      <c r="Y187" s="325" t="s">
        <v>429</v>
      </c>
      <c r="Z187" s="326" t="s">
        <v>78</v>
      </c>
      <c r="AA187" s="327"/>
      <c r="AB187" s="327"/>
      <c r="AC187" s="327"/>
      <c r="AD187" s="327"/>
      <c r="AE187" s="328" t="s">
        <v>472</v>
      </c>
      <c r="AF187" s="329">
        <v>15</v>
      </c>
      <c r="AG187" s="330">
        <v>1072.4318181818182</v>
      </c>
      <c r="AH187" s="330">
        <f t="shared" si="78"/>
        <v>16086.477272727274</v>
      </c>
      <c r="AI187" s="331"/>
      <c r="AJ187" s="332">
        <v>2010.809659090909</v>
      </c>
      <c r="AK187" s="332">
        <v>2010.809659090909</v>
      </c>
      <c r="AL187" s="332">
        <v>5630.267045454545</v>
      </c>
      <c r="AM187" s="332">
        <v>3217.2954545454545</v>
      </c>
      <c r="AN187" s="332">
        <v>3217.2954545454545</v>
      </c>
      <c r="AO187" s="333">
        <f t="shared" si="81"/>
        <v>2681.0795454545455</v>
      </c>
      <c r="AP187" s="333">
        <v>2681.0795454545455</v>
      </c>
      <c r="AQ187" s="333">
        <v>2681.0795454545455</v>
      </c>
      <c r="AR187" s="333">
        <v>2681.0795454545455</v>
      </c>
      <c r="AS187" s="333">
        <v>2681.0795454545455</v>
      </c>
      <c r="AT187" s="333">
        <v>2681.0795454545455</v>
      </c>
      <c r="AU187" s="334">
        <f t="shared" si="79"/>
        <v>16086.477272727274</v>
      </c>
      <c r="AV187" s="334">
        <f t="shared" si="82"/>
        <v>16086.477272727274</v>
      </c>
      <c r="AW187" s="334">
        <f t="shared" si="80"/>
        <v>0</v>
      </c>
      <c r="AX187" s="334">
        <f t="shared" si="83"/>
        <v>16086.477272727274</v>
      </c>
      <c r="AY187" s="335"/>
    </row>
    <row r="188" spans="1:51" ht="31">
      <c r="A188" s="1108"/>
      <c r="B188" s="1108"/>
      <c r="C188" s="1108"/>
      <c r="D188" s="1108"/>
      <c r="J188" s="1139"/>
      <c r="K188" s="1108"/>
      <c r="L188" s="1108"/>
      <c r="M188" s="1108"/>
      <c r="N188" s="1108"/>
      <c r="O188" s="1108"/>
      <c r="P188" s="1108"/>
      <c r="Q188" s="1108"/>
      <c r="R188" s="1108"/>
      <c r="V188" s="323" t="s">
        <v>421</v>
      </c>
      <c r="W188" s="324"/>
      <c r="X188" s="323"/>
      <c r="Y188" s="325" t="s">
        <v>430</v>
      </c>
      <c r="Z188" s="326" t="s">
        <v>78</v>
      </c>
      <c r="AA188" s="327"/>
      <c r="AB188" s="327"/>
      <c r="AC188" s="327"/>
      <c r="AD188" s="327"/>
      <c r="AE188" s="328" t="s">
        <v>472</v>
      </c>
      <c r="AF188" s="329">
        <v>15</v>
      </c>
      <c r="AG188" s="330">
        <v>3046.909090909091</v>
      </c>
      <c r="AH188" s="330">
        <f t="shared" si="78"/>
        <v>45703.636363636368</v>
      </c>
      <c r="AI188" s="331"/>
      <c r="AJ188" s="332">
        <v>2285.181818181818</v>
      </c>
      <c r="AK188" s="332">
        <v>4570.363636363636</v>
      </c>
      <c r="AL188" s="332">
        <v>36562.909090909088</v>
      </c>
      <c r="AM188" s="332">
        <v>2285.181818181818</v>
      </c>
      <c r="AN188" s="332"/>
      <c r="AO188" s="333">
        <f t="shared" si="81"/>
        <v>7617.2727272727279</v>
      </c>
      <c r="AP188" s="333">
        <v>7617.2727272727279</v>
      </c>
      <c r="AQ188" s="333">
        <v>7617.2727272727279</v>
      </c>
      <c r="AR188" s="333">
        <v>7617.2727272727279</v>
      </c>
      <c r="AS188" s="333">
        <v>7617.2727272727279</v>
      </c>
      <c r="AT188" s="333">
        <v>7617.2727272727279</v>
      </c>
      <c r="AU188" s="334">
        <f t="shared" si="79"/>
        <v>45703.636363636368</v>
      </c>
      <c r="AV188" s="334">
        <f t="shared" si="82"/>
        <v>45703.636363636368</v>
      </c>
      <c r="AW188" s="334">
        <f t="shared" si="80"/>
        <v>0</v>
      </c>
      <c r="AX188" s="334">
        <f t="shared" si="83"/>
        <v>45703.636363636368</v>
      </c>
      <c r="AY188" s="335"/>
    </row>
    <row r="189" spans="1:51" ht="31">
      <c r="A189" s="1108"/>
      <c r="B189" s="1108"/>
      <c r="C189" s="1108"/>
      <c r="D189" s="1108"/>
      <c r="J189" s="1139"/>
      <c r="K189" s="1108"/>
      <c r="L189" s="1108"/>
      <c r="M189" s="1108"/>
      <c r="N189" s="1108"/>
      <c r="O189" s="1108"/>
      <c r="P189" s="1108"/>
      <c r="Q189" s="1108"/>
      <c r="R189" s="1108"/>
      <c r="V189" s="323" t="s">
        <v>421</v>
      </c>
      <c r="W189" s="324"/>
      <c r="X189" s="323"/>
      <c r="Y189" s="325" t="s">
        <v>431</v>
      </c>
      <c r="Z189" s="326" t="s">
        <v>78</v>
      </c>
      <c r="AA189" s="327"/>
      <c r="AB189" s="327"/>
      <c r="AC189" s="327"/>
      <c r="AD189" s="327"/>
      <c r="AE189" s="328" t="s">
        <v>472</v>
      </c>
      <c r="AF189" s="329">
        <v>15</v>
      </c>
      <c r="AG189" s="330">
        <v>801.81818181818187</v>
      </c>
      <c r="AH189" s="330">
        <f t="shared" si="78"/>
        <v>12027.272727272728</v>
      </c>
      <c r="AI189" s="331"/>
      <c r="AJ189" s="332">
        <v>962.18181818181824</v>
      </c>
      <c r="AK189" s="332">
        <v>962.18181818181824</v>
      </c>
      <c r="AL189" s="332">
        <v>2886.5454545454545</v>
      </c>
      <c r="AM189" s="332">
        <v>1202.7272727272727</v>
      </c>
      <c r="AN189" s="332">
        <v>6013.636363636364</v>
      </c>
      <c r="AO189" s="333">
        <f t="shared" si="81"/>
        <v>2004.5454545454547</v>
      </c>
      <c r="AP189" s="333">
        <v>2004.5454545454547</v>
      </c>
      <c r="AQ189" s="333">
        <v>2004.5454545454547</v>
      </c>
      <c r="AR189" s="333">
        <v>2004.5454545454547</v>
      </c>
      <c r="AS189" s="333">
        <v>2004.5454545454547</v>
      </c>
      <c r="AT189" s="333">
        <v>2004.5454545454547</v>
      </c>
      <c r="AU189" s="334">
        <f t="shared" si="79"/>
        <v>12027.272727272728</v>
      </c>
      <c r="AV189" s="334">
        <f t="shared" si="82"/>
        <v>12027.272727272728</v>
      </c>
      <c r="AW189" s="334">
        <f t="shared" si="80"/>
        <v>0</v>
      </c>
      <c r="AX189" s="334">
        <f t="shared" si="83"/>
        <v>12027.272727272728</v>
      </c>
      <c r="AY189" s="335"/>
    </row>
    <row r="190" spans="1:51" ht="31">
      <c r="A190" s="1108"/>
      <c r="B190" s="1108"/>
      <c r="C190" s="1108"/>
      <c r="D190" s="1108"/>
      <c r="J190" s="1139"/>
      <c r="K190" s="1108"/>
      <c r="L190" s="1108"/>
      <c r="M190" s="1108"/>
      <c r="N190" s="1108"/>
      <c r="O190" s="1108"/>
      <c r="P190" s="1108"/>
      <c r="Q190" s="1108"/>
      <c r="R190" s="1108"/>
      <c r="V190" s="323" t="s">
        <v>421</v>
      </c>
      <c r="W190" s="324"/>
      <c r="X190" s="323"/>
      <c r="Y190" s="325" t="s">
        <v>432</v>
      </c>
      <c r="Z190" s="326" t="s">
        <v>78</v>
      </c>
      <c r="AA190" s="327"/>
      <c r="AB190" s="327"/>
      <c r="AC190" s="327"/>
      <c r="AD190" s="327"/>
      <c r="AE190" s="328" t="s">
        <v>472</v>
      </c>
      <c r="AF190" s="329">
        <v>15</v>
      </c>
      <c r="AG190" s="330">
        <v>781.77272727272725</v>
      </c>
      <c r="AH190" s="330">
        <f t="shared" si="78"/>
        <v>11726.590909090908</v>
      </c>
      <c r="AI190" s="331"/>
      <c r="AJ190" s="332">
        <v>938.12727272727284</v>
      </c>
      <c r="AK190" s="332">
        <v>938.12727272727284</v>
      </c>
      <c r="AL190" s="332">
        <v>2814.3818181818183</v>
      </c>
      <c r="AM190" s="332">
        <v>1172.659090909091</v>
      </c>
      <c r="AN190" s="332">
        <v>5863.295454545455</v>
      </c>
      <c r="AO190" s="333">
        <f t="shared" si="81"/>
        <v>1954.431818181818</v>
      </c>
      <c r="AP190" s="333">
        <v>1954.431818181818</v>
      </c>
      <c r="AQ190" s="333">
        <v>1954.431818181818</v>
      </c>
      <c r="AR190" s="333">
        <v>1954.431818181818</v>
      </c>
      <c r="AS190" s="333">
        <v>1954.431818181818</v>
      </c>
      <c r="AT190" s="333">
        <v>1954.431818181818</v>
      </c>
      <c r="AU190" s="334">
        <f t="shared" si="79"/>
        <v>11726.590909090908</v>
      </c>
      <c r="AV190" s="334">
        <f t="shared" si="82"/>
        <v>11726.590909090908</v>
      </c>
      <c r="AW190" s="334">
        <f t="shared" si="80"/>
        <v>0</v>
      </c>
      <c r="AX190" s="334">
        <f t="shared" si="83"/>
        <v>11726.590909090908</v>
      </c>
      <c r="AY190" s="335"/>
    </row>
    <row r="191" spans="1:51" ht="31">
      <c r="A191" s="1108"/>
      <c r="B191" s="1108"/>
      <c r="C191" s="1108"/>
      <c r="D191" s="1108"/>
      <c r="J191" s="1139"/>
      <c r="K191" s="1108"/>
      <c r="L191" s="1108"/>
      <c r="M191" s="1108"/>
      <c r="N191" s="1108"/>
      <c r="O191" s="1108"/>
      <c r="P191" s="1108"/>
      <c r="Q191" s="1108"/>
      <c r="R191" s="1108"/>
      <c r="V191" s="323" t="s">
        <v>421</v>
      </c>
      <c r="W191" s="324"/>
      <c r="X191" s="323"/>
      <c r="Y191" s="325" t="s">
        <v>433</v>
      </c>
      <c r="Z191" s="325" t="s">
        <v>78</v>
      </c>
      <c r="AA191" s="327"/>
      <c r="AB191" s="327"/>
      <c r="AC191" s="327"/>
      <c r="AD191" s="327"/>
      <c r="AE191" s="328" t="s">
        <v>472</v>
      </c>
      <c r="AF191" s="329">
        <v>15</v>
      </c>
      <c r="AG191" s="330">
        <v>1454.5454545454545</v>
      </c>
      <c r="AH191" s="330">
        <f t="shared" si="78"/>
        <v>21818.181818181816</v>
      </c>
      <c r="AI191" s="331"/>
      <c r="AJ191" s="332">
        <v>3490.9090909090914</v>
      </c>
      <c r="AK191" s="332">
        <v>3490.9090909090914</v>
      </c>
      <c r="AL191" s="332">
        <v>10472.727272727274</v>
      </c>
      <c r="AM191" s="332">
        <v>4363.636363636364</v>
      </c>
      <c r="AN191" s="332">
        <v>0</v>
      </c>
      <c r="AO191" s="333">
        <f t="shared" si="81"/>
        <v>3636.363636363636</v>
      </c>
      <c r="AP191" s="333">
        <v>3636.363636363636</v>
      </c>
      <c r="AQ191" s="333">
        <v>3636.363636363636</v>
      </c>
      <c r="AR191" s="333">
        <v>3636.363636363636</v>
      </c>
      <c r="AS191" s="333">
        <v>3636.363636363636</v>
      </c>
      <c r="AT191" s="333">
        <v>3636.363636363636</v>
      </c>
      <c r="AU191" s="334">
        <f t="shared" si="79"/>
        <v>21818.181818181816</v>
      </c>
      <c r="AV191" s="334">
        <f t="shared" si="82"/>
        <v>21818.181818181816</v>
      </c>
      <c r="AW191" s="334">
        <f t="shared" si="80"/>
        <v>0</v>
      </c>
      <c r="AX191" s="334">
        <f t="shared" si="83"/>
        <v>21818.181818181816</v>
      </c>
      <c r="AY191" s="335"/>
    </row>
    <row r="192" spans="1:51" ht="31">
      <c r="A192" s="1108"/>
      <c r="B192" s="1108"/>
      <c r="C192" s="1108"/>
      <c r="D192" s="1108"/>
      <c r="J192" s="1139"/>
      <c r="K192" s="1108"/>
      <c r="L192" s="1108"/>
      <c r="M192" s="1108"/>
      <c r="N192" s="1108"/>
      <c r="O192" s="1108"/>
      <c r="P192" s="1108"/>
      <c r="Q192" s="1108"/>
      <c r="R192" s="1108"/>
      <c r="V192" s="323" t="s">
        <v>421</v>
      </c>
      <c r="W192" s="324"/>
      <c r="X192" s="323"/>
      <c r="Y192" s="337" t="s">
        <v>434</v>
      </c>
      <c r="Z192" s="325" t="s">
        <v>78</v>
      </c>
      <c r="AA192" s="327"/>
      <c r="AB192" s="327"/>
      <c r="AC192" s="327"/>
      <c r="AD192" s="327"/>
      <c r="AE192" s="328" t="s">
        <v>472</v>
      </c>
      <c r="AF192" s="329">
        <v>15</v>
      </c>
      <c r="AG192" s="330">
        <v>1545.4545454545455</v>
      </c>
      <c r="AH192" s="330">
        <f t="shared" si="78"/>
        <v>23181.818181818184</v>
      </c>
      <c r="AI192" s="331"/>
      <c r="AJ192" s="332">
        <v>3477.272727272727</v>
      </c>
      <c r="AK192" s="332">
        <v>3477.272727272727</v>
      </c>
      <c r="AL192" s="332">
        <v>11590.90909090909</v>
      </c>
      <c r="AM192" s="332">
        <v>4636.363636363636</v>
      </c>
      <c r="AN192" s="332">
        <v>0</v>
      </c>
      <c r="AO192" s="333">
        <f t="shared" si="81"/>
        <v>3863.636363636364</v>
      </c>
      <c r="AP192" s="333">
        <v>3863.636363636364</v>
      </c>
      <c r="AQ192" s="333">
        <v>3863.636363636364</v>
      </c>
      <c r="AR192" s="333">
        <v>3863.636363636364</v>
      </c>
      <c r="AS192" s="333">
        <v>3863.636363636364</v>
      </c>
      <c r="AT192" s="333">
        <v>3863.636363636364</v>
      </c>
      <c r="AU192" s="334">
        <f t="shared" si="79"/>
        <v>23181.818181818184</v>
      </c>
      <c r="AV192" s="334">
        <f t="shared" si="82"/>
        <v>23181.818181818184</v>
      </c>
      <c r="AW192" s="334">
        <f t="shared" si="80"/>
        <v>0</v>
      </c>
      <c r="AX192" s="334">
        <f t="shared" si="83"/>
        <v>23181.818181818184</v>
      </c>
      <c r="AY192" s="335"/>
    </row>
    <row r="193" spans="22:51" ht="15.5">
      <c r="V193" s="323" t="s">
        <v>421</v>
      </c>
      <c r="W193" s="324"/>
      <c r="X193" s="323"/>
      <c r="Y193" s="326" t="s">
        <v>435</v>
      </c>
      <c r="Z193" s="326" t="s">
        <v>78</v>
      </c>
      <c r="AA193" s="327"/>
      <c r="AB193" s="327"/>
      <c r="AC193" s="327"/>
      <c r="AD193" s="327"/>
      <c r="AE193" s="328" t="s">
        <v>472</v>
      </c>
      <c r="AF193" s="329">
        <v>15</v>
      </c>
      <c r="AG193" s="330">
        <v>1050</v>
      </c>
      <c r="AH193" s="330">
        <f t="shared" si="78"/>
        <v>15750</v>
      </c>
      <c r="AI193" s="331"/>
      <c r="AJ193" s="332">
        <v>1260</v>
      </c>
      <c r="AK193" s="332">
        <v>1260</v>
      </c>
      <c r="AL193" s="332">
        <v>3780</v>
      </c>
      <c r="AM193" s="332">
        <v>1575</v>
      </c>
      <c r="AN193" s="332">
        <v>7875</v>
      </c>
      <c r="AO193" s="333">
        <f t="shared" si="81"/>
        <v>2625</v>
      </c>
      <c r="AP193" s="333">
        <v>2625</v>
      </c>
      <c r="AQ193" s="333">
        <v>2625</v>
      </c>
      <c r="AR193" s="333">
        <v>2625</v>
      </c>
      <c r="AS193" s="333">
        <v>2625</v>
      </c>
      <c r="AT193" s="333">
        <v>2625</v>
      </c>
      <c r="AU193" s="334">
        <f t="shared" si="79"/>
        <v>15750</v>
      </c>
      <c r="AV193" s="334">
        <f t="shared" si="82"/>
        <v>15750</v>
      </c>
      <c r="AW193" s="334">
        <f t="shared" si="80"/>
        <v>0</v>
      </c>
      <c r="AX193" s="334">
        <f t="shared" si="83"/>
        <v>15750</v>
      </c>
      <c r="AY193" s="335"/>
    </row>
    <row r="194" spans="22:51" ht="15.5">
      <c r="V194" s="323" t="s">
        <v>421</v>
      </c>
      <c r="W194" s="324"/>
      <c r="X194" s="323"/>
      <c r="Y194" s="326" t="s">
        <v>436</v>
      </c>
      <c r="Z194" s="326" t="s">
        <v>78</v>
      </c>
      <c r="AA194" s="327"/>
      <c r="AB194" s="327"/>
      <c r="AC194" s="327"/>
      <c r="AD194" s="327"/>
      <c r="AE194" s="328" t="s">
        <v>472</v>
      </c>
      <c r="AF194" s="329">
        <v>15</v>
      </c>
      <c r="AG194" s="330">
        <v>1050</v>
      </c>
      <c r="AH194" s="330">
        <f t="shared" si="78"/>
        <v>15750</v>
      </c>
      <c r="AI194" s="331"/>
      <c r="AJ194" s="332">
        <v>7875</v>
      </c>
      <c r="AK194" s="332">
        <v>1575</v>
      </c>
      <c r="AL194" s="332">
        <v>3150</v>
      </c>
      <c r="AM194" s="332">
        <v>787.5</v>
      </c>
      <c r="AN194" s="332">
        <v>2362.5</v>
      </c>
      <c r="AO194" s="333">
        <f t="shared" si="81"/>
        <v>2625</v>
      </c>
      <c r="AP194" s="333">
        <v>2625</v>
      </c>
      <c r="AQ194" s="333">
        <v>2625</v>
      </c>
      <c r="AR194" s="333">
        <v>2625</v>
      </c>
      <c r="AS194" s="333">
        <v>2625</v>
      </c>
      <c r="AT194" s="333">
        <v>2625</v>
      </c>
      <c r="AU194" s="334">
        <f t="shared" si="79"/>
        <v>15750</v>
      </c>
      <c r="AV194" s="334">
        <f t="shared" si="82"/>
        <v>15750</v>
      </c>
      <c r="AW194" s="334">
        <f t="shared" si="80"/>
        <v>0</v>
      </c>
      <c r="AX194" s="334">
        <f t="shared" si="83"/>
        <v>15750</v>
      </c>
      <c r="AY194" s="335"/>
    </row>
    <row r="195" spans="22:51" ht="15.5">
      <c r="V195" s="316"/>
      <c r="W195" s="317"/>
      <c r="X195" s="316"/>
      <c r="Y195" s="316" t="s">
        <v>473</v>
      </c>
      <c r="Z195" s="316"/>
      <c r="AA195" s="316"/>
      <c r="AB195" s="316"/>
      <c r="AC195" s="316"/>
      <c r="AD195" s="316"/>
      <c r="AE195" s="318"/>
      <c r="AF195" s="319"/>
      <c r="AG195" s="320"/>
      <c r="AH195" s="320">
        <f>AH197+AH221+AH235+AH286</f>
        <v>0</v>
      </c>
      <c r="AI195" s="321"/>
      <c r="AJ195" s="320">
        <f t="shared" ref="AJ195:AY195" si="84">AJ197+AJ221+AJ235+AJ286</f>
        <v>0</v>
      </c>
      <c r="AK195" s="320">
        <f t="shared" si="84"/>
        <v>0</v>
      </c>
      <c r="AL195" s="320">
        <f t="shared" si="84"/>
        <v>0</v>
      </c>
      <c r="AM195" s="320">
        <f t="shared" si="84"/>
        <v>0</v>
      </c>
      <c r="AN195" s="320">
        <f t="shared" si="84"/>
        <v>0</v>
      </c>
      <c r="AO195" s="320">
        <f t="shared" si="84"/>
        <v>0</v>
      </c>
      <c r="AP195" s="320">
        <f t="shared" si="84"/>
        <v>0</v>
      </c>
      <c r="AQ195" s="320">
        <f t="shared" si="84"/>
        <v>0</v>
      </c>
      <c r="AR195" s="320">
        <f t="shared" si="84"/>
        <v>0</v>
      </c>
      <c r="AS195" s="320">
        <f t="shared" si="84"/>
        <v>0</v>
      </c>
      <c r="AT195" s="320">
        <f t="shared" si="84"/>
        <v>0</v>
      </c>
      <c r="AU195" s="320">
        <f t="shared" si="84"/>
        <v>0</v>
      </c>
      <c r="AV195" s="320">
        <f t="shared" si="84"/>
        <v>0</v>
      </c>
      <c r="AW195" s="320">
        <f t="shared" si="84"/>
        <v>0</v>
      </c>
      <c r="AX195" s="320">
        <f t="shared" si="84"/>
        <v>0</v>
      </c>
      <c r="AY195" s="322">
        <f t="shared" si="84"/>
        <v>0</v>
      </c>
    </row>
  </sheetData>
  <sheetProtection algorithmName="SHA-512" hashValue="7UIv78rnGnGkuu4TAnviBKCnSN+R7fY1xzQ+wjhxiPBz9qyIQuy6Gl4YEsuyUX+h6iZoUNTKeVyTQ5TLQKvVng==" saltValue="O5n6su1CjQIKDfYvxDlBmw==" spinCount="100000" sheet="1" formatCells="0" formatColumns="0" formatRows="0" insertRows="0" deleteRows="0" selectLockedCells="1" sort="0"/>
  <mergeCells count="73">
    <mergeCell ref="P32:P46"/>
    <mergeCell ref="P3:P4"/>
    <mergeCell ref="A32:A35"/>
    <mergeCell ref="O32:O34"/>
    <mergeCell ref="A37:A40"/>
    <mergeCell ref="A41:A43"/>
    <mergeCell ref="Q3:R3"/>
    <mergeCell ref="A8:A17"/>
    <mergeCell ref="O8:O16"/>
    <mergeCell ref="P8:P28"/>
    <mergeCell ref="A19:A20"/>
    <mergeCell ref="O19:O28"/>
    <mergeCell ref="A26:A29"/>
    <mergeCell ref="B3:B4"/>
    <mergeCell ref="D3:D4"/>
    <mergeCell ref="L3:L4"/>
    <mergeCell ref="M3:M4"/>
    <mergeCell ref="N3:N4"/>
    <mergeCell ref="O3:O4"/>
    <mergeCell ref="A21:A25"/>
    <mergeCell ref="Y176:Y177"/>
    <mergeCell ref="O90:O97"/>
    <mergeCell ref="A94:A98"/>
    <mergeCell ref="A101:A104"/>
    <mergeCell ref="O101:O109"/>
    <mergeCell ref="P101:P129"/>
    <mergeCell ref="A105:A110"/>
    <mergeCell ref="A123:A130"/>
    <mergeCell ref="O123:O129"/>
    <mergeCell ref="A133:A149"/>
    <mergeCell ref="E171:H171"/>
    <mergeCell ref="V176:V177"/>
    <mergeCell ref="W176:W177"/>
    <mergeCell ref="X176:X177"/>
    <mergeCell ref="P50:P97"/>
    <mergeCell ref="O112:O120"/>
    <mergeCell ref="AJ176:AN176"/>
    <mergeCell ref="AO176:AU176"/>
    <mergeCell ref="AV176:AX176"/>
    <mergeCell ref="AY176:AY177"/>
    <mergeCell ref="Z176:Z177"/>
    <mergeCell ref="AA176:AD176"/>
    <mergeCell ref="AE176:AE177"/>
    <mergeCell ref="AF176:AF177"/>
    <mergeCell ref="AG176:AG177"/>
    <mergeCell ref="AH176:AH177"/>
    <mergeCell ref="AF4:AF5"/>
    <mergeCell ref="AG4:AG5"/>
    <mergeCell ref="AH4:AH5"/>
    <mergeCell ref="T5:U5"/>
    <mergeCell ref="A112:A121"/>
    <mergeCell ref="A50:A56"/>
    <mergeCell ref="O50:O70"/>
    <mergeCell ref="A57:A63"/>
    <mergeCell ref="A64:A71"/>
    <mergeCell ref="A73:A77"/>
    <mergeCell ref="O73:O87"/>
    <mergeCell ref="A78:A83"/>
    <mergeCell ref="A84:A88"/>
    <mergeCell ref="A90:A93"/>
    <mergeCell ref="A44:A47"/>
    <mergeCell ref="O37:O46"/>
    <mergeCell ref="AB3:AE3"/>
    <mergeCell ref="W4:W5"/>
    <mergeCell ref="X4:X5"/>
    <mergeCell ref="Y4:Y5"/>
    <mergeCell ref="Z4:Z5"/>
    <mergeCell ref="AA4:AA5"/>
    <mergeCell ref="AB4:AB5"/>
    <mergeCell ref="AC4:AC5"/>
    <mergeCell ref="AD4:AD5"/>
    <mergeCell ref="AE4:AE5"/>
    <mergeCell ref="W3:Z3"/>
  </mergeCells>
  <phoneticPr fontId="62" type="noConversion"/>
  <conditionalFormatting sqref="D8:D15 D112:D119">
    <cfRule type="cellIs" priority="18" operator="greaterThan">
      <formula>0</formula>
    </cfRule>
  </conditionalFormatting>
  <conditionalFormatting sqref="D19">
    <cfRule type="cellIs" priority="13" operator="greaterThan">
      <formula>0</formula>
    </cfRule>
  </conditionalFormatting>
  <conditionalFormatting sqref="D26:D27">
    <cfRule type="cellIs" priority="12" operator="greaterThan">
      <formula>0</formula>
    </cfRule>
  </conditionalFormatting>
  <conditionalFormatting sqref="D32">
    <cfRule type="cellIs" priority="17" operator="greaterThan">
      <formula>0</formula>
    </cfRule>
  </conditionalFormatting>
  <conditionalFormatting sqref="D37:D38">
    <cfRule type="cellIs" priority="3" operator="greaterThan">
      <formula>0</formula>
    </cfRule>
  </conditionalFormatting>
  <conditionalFormatting sqref="D41:D42">
    <cfRule type="cellIs" priority="2" operator="greaterThan">
      <formula>0</formula>
    </cfRule>
  </conditionalFormatting>
  <conditionalFormatting sqref="D44:D45">
    <cfRule type="cellIs" priority="1" operator="greaterThan">
      <formula>0</formula>
    </cfRule>
  </conditionalFormatting>
  <conditionalFormatting sqref="D50">
    <cfRule type="cellIs" priority="22" operator="greaterThan">
      <formula>0</formula>
    </cfRule>
  </conditionalFormatting>
  <conditionalFormatting sqref="D57">
    <cfRule type="cellIs" priority="21" operator="greaterThan">
      <formula>0</formula>
    </cfRule>
  </conditionalFormatting>
  <conditionalFormatting sqref="D64">
    <cfRule type="cellIs" priority="10" operator="greaterThan">
      <formula>0</formula>
    </cfRule>
  </conditionalFormatting>
  <conditionalFormatting sqref="D73:D74">
    <cfRule type="cellIs" priority="15" operator="greaterThan">
      <formula>0</formula>
    </cfRule>
  </conditionalFormatting>
  <conditionalFormatting sqref="D78:D80">
    <cfRule type="cellIs" priority="20" operator="greaterThan">
      <formula>0</formula>
    </cfRule>
  </conditionalFormatting>
  <conditionalFormatting sqref="D84:D85">
    <cfRule type="cellIs" priority="9" operator="greaterThan">
      <formula>0</formula>
    </cfRule>
  </conditionalFormatting>
  <conditionalFormatting sqref="D90:D91">
    <cfRule type="cellIs" priority="8" operator="greaterThan">
      <formula>0</formula>
    </cfRule>
  </conditionalFormatting>
  <conditionalFormatting sqref="D94:D95">
    <cfRule type="cellIs" priority="7" operator="greaterThan">
      <formula>0</formula>
    </cfRule>
  </conditionalFormatting>
  <conditionalFormatting sqref="D101">
    <cfRule type="cellIs" priority="23" operator="greaterThan">
      <formula>0</formula>
    </cfRule>
  </conditionalFormatting>
  <conditionalFormatting sqref="D105:D107">
    <cfRule type="cellIs" priority="19" operator="greaterThan">
      <formula>0</formula>
    </cfRule>
  </conditionalFormatting>
  <conditionalFormatting sqref="D123:D129">
    <cfRule type="cellIs" priority="5" operator="greaterThan">
      <formula>0</formula>
    </cfRule>
  </conditionalFormatting>
  <pageMargins left="0.75" right="0.75" top="1" bottom="1" header="0.5" footer="0.5"/>
  <pageSetup orientation="portrait" horizontalDpi="300" r:id="rId1"/>
  <ignoredErrors>
    <ignoredError sqref="N40 N56 N63" formula="1"/>
    <ignoredError sqref="I25"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58CE7-A6C8-441A-B90A-623E40CE8C02}">
  <sheetPr>
    <tabColor rgb="FFFFFFCC"/>
    <pageSetUpPr fitToPage="1"/>
  </sheetPr>
  <dimension ref="A1:AH180"/>
  <sheetViews>
    <sheetView topLeftCell="A124" zoomScale="90" zoomScaleNormal="90" workbookViewId="0">
      <selection activeCell="A72" sqref="A72:C72"/>
    </sheetView>
  </sheetViews>
  <sheetFormatPr defaultColWidth="9.08984375" defaultRowHeight="14.5"/>
  <cols>
    <col min="1" max="1" width="20.26953125" style="5" customWidth="1"/>
    <col min="2" max="2" width="5.7265625" style="5" customWidth="1"/>
    <col min="3" max="3" width="37.453125" style="5" customWidth="1"/>
    <col min="4" max="4" width="14.26953125" style="5" customWidth="1"/>
    <col min="5" max="5" width="8.36328125" style="6" customWidth="1"/>
    <col min="6" max="6" width="5" style="6" customWidth="1"/>
    <col min="7" max="7" width="4.6328125" style="6" customWidth="1"/>
    <col min="8" max="8" width="4.26953125" style="6" customWidth="1"/>
    <col min="9" max="9" width="12.7265625" style="6" customWidth="1"/>
    <col min="10" max="10" width="14.26953125" style="7" customWidth="1"/>
    <col min="11" max="11" width="9.36328125" style="5" customWidth="1"/>
    <col min="12" max="12" width="7.08984375" style="5" customWidth="1"/>
    <col min="13" max="13" width="12.90625" style="5" customWidth="1"/>
    <col min="14" max="14" width="17.7265625" style="5" customWidth="1"/>
    <col min="15" max="16" width="20.36328125" style="5" customWidth="1"/>
    <col min="17" max="17" width="24.08984375" style="5" customWidth="1"/>
    <col min="18" max="18" width="16.90625" style="5" customWidth="1"/>
    <col min="19" max="20" width="9.08984375" customWidth="1"/>
    <col min="21" max="21" width="96.7265625" customWidth="1"/>
    <col min="22" max="22" width="9.08984375" customWidth="1"/>
    <col min="23" max="23" width="22.26953125" customWidth="1"/>
    <col min="24" max="24" width="22.7265625" customWidth="1"/>
    <col min="25" max="25" width="25.7265625" customWidth="1"/>
    <col min="26" max="26" width="15" customWidth="1"/>
    <col min="27" max="27" width="33.90625" customWidth="1"/>
    <col min="28" max="28" width="14.7265625" customWidth="1"/>
    <col min="29" max="29" width="13.7265625" customWidth="1"/>
    <col min="30" max="30" width="13.36328125" customWidth="1"/>
    <col min="31" max="31" width="34.7265625" customWidth="1"/>
    <col min="32" max="32" width="13.7265625" customWidth="1"/>
    <col min="33" max="33" width="76.90625" customWidth="1"/>
    <col min="34" max="34" width="81.90625" customWidth="1"/>
  </cols>
  <sheetData>
    <row r="1" spans="1:34" ht="23.25" customHeight="1" thickBot="1">
      <c r="A1" s="901" t="s">
        <v>948</v>
      </c>
      <c r="B1" s="900"/>
      <c r="C1" s="900"/>
      <c r="D1" s="900"/>
      <c r="E1" s="900"/>
      <c r="F1" s="900"/>
      <c r="G1" s="900"/>
      <c r="H1" s="900"/>
      <c r="I1" s="900"/>
      <c r="J1" s="900"/>
      <c r="K1" s="900"/>
      <c r="L1" s="900"/>
      <c r="M1" s="1143"/>
      <c r="N1" s="1143"/>
      <c r="O1" s="1143"/>
      <c r="P1" s="1143"/>
      <c r="Q1" s="1143"/>
      <c r="R1" s="1143"/>
    </row>
    <row r="2" spans="1:34" ht="15" customHeight="1" thickBot="1">
      <c r="A2" s="898"/>
      <c r="B2" s="899"/>
      <c r="C2" s="899"/>
      <c r="D2" s="899"/>
      <c r="E2" s="899"/>
      <c r="F2" s="899"/>
      <c r="G2" s="899"/>
      <c r="H2" s="899"/>
      <c r="I2" s="899"/>
      <c r="J2" s="899"/>
      <c r="K2" s="899"/>
      <c r="L2" s="899"/>
      <c r="M2" s="149" t="s">
        <v>233</v>
      </c>
      <c r="N2" s="150"/>
      <c r="O2" s="150"/>
      <c r="P2" s="150"/>
      <c r="Q2" s="150"/>
      <c r="R2" s="151"/>
      <c r="T2" s="459" t="s">
        <v>559</v>
      </c>
      <c r="U2" s="460"/>
    </row>
    <row r="3" spans="1:34" ht="31.5" customHeight="1">
      <c r="A3" s="490" t="s">
        <v>234</v>
      </c>
      <c r="B3" s="1383" t="s">
        <v>235</v>
      </c>
      <c r="C3" s="491" t="s">
        <v>236</v>
      </c>
      <c r="D3" s="1326" t="s">
        <v>237</v>
      </c>
      <c r="E3" s="143" t="s">
        <v>238</v>
      </c>
      <c r="F3" s="144"/>
      <c r="G3" s="144"/>
      <c r="H3" s="355"/>
      <c r="I3" s="144" t="s">
        <v>949</v>
      </c>
      <c r="J3" s="138" t="s">
        <v>240</v>
      </c>
      <c r="K3" s="138" t="s">
        <v>241</v>
      </c>
      <c r="L3" s="1328" t="s">
        <v>242</v>
      </c>
      <c r="M3" s="1330" t="s">
        <v>243</v>
      </c>
      <c r="N3" s="1332" t="s">
        <v>244</v>
      </c>
      <c r="O3" s="1334" t="s">
        <v>245</v>
      </c>
      <c r="P3" s="1306" t="s">
        <v>246</v>
      </c>
      <c r="Q3" s="1308" t="s">
        <v>247</v>
      </c>
      <c r="R3" s="1309"/>
      <c r="T3" s="249"/>
      <c r="U3" s="461"/>
      <c r="W3" s="1370" t="s">
        <v>560</v>
      </c>
      <c r="X3" s="1371"/>
      <c r="Y3" s="1371"/>
      <c r="Z3" s="1371"/>
      <c r="AA3" s="477" t="s">
        <v>561</v>
      </c>
      <c r="AB3" s="1365" t="s">
        <v>562</v>
      </c>
      <c r="AC3" s="1365"/>
      <c r="AD3" s="1365"/>
      <c r="AE3" s="1365"/>
      <c r="AF3" s="479" t="s">
        <v>563</v>
      </c>
      <c r="AG3" s="479"/>
      <c r="AH3" s="480"/>
    </row>
    <row r="4" spans="1:34" ht="25.5" customHeight="1">
      <c r="A4" s="248"/>
      <c r="B4" s="1325"/>
      <c r="C4" s="249"/>
      <c r="D4" s="1327"/>
      <c r="E4" s="71" t="s">
        <v>248</v>
      </c>
      <c r="F4" s="72" t="s">
        <v>249</v>
      </c>
      <c r="G4" s="71" t="s">
        <v>250</v>
      </c>
      <c r="H4" s="72" t="s">
        <v>251</v>
      </c>
      <c r="I4" s="354" t="s">
        <v>252</v>
      </c>
      <c r="J4" s="121" t="s">
        <v>254</v>
      </c>
      <c r="K4" s="73" t="s">
        <v>255</v>
      </c>
      <c r="L4" s="1329"/>
      <c r="M4" s="1331"/>
      <c r="N4" s="1333"/>
      <c r="O4" s="1335"/>
      <c r="P4" s="1307"/>
      <c r="Q4" s="193" t="s">
        <v>256</v>
      </c>
      <c r="R4" s="194" t="s">
        <v>257</v>
      </c>
      <c r="T4" s="456" t="s">
        <v>564</v>
      </c>
      <c r="U4" s="457" t="s">
        <v>565</v>
      </c>
      <c r="W4" s="1366" t="s">
        <v>566</v>
      </c>
      <c r="X4" s="1368" t="s">
        <v>567</v>
      </c>
      <c r="Y4" s="1368" t="s">
        <v>568</v>
      </c>
      <c r="Z4" s="1368" t="s">
        <v>569</v>
      </c>
      <c r="AA4" s="1368" t="s">
        <v>570</v>
      </c>
      <c r="AB4" s="1368" t="s">
        <v>571</v>
      </c>
      <c r="AC4" s="1368" t="s">
        <v>572</v>
      </c>
      <c r="AD4" s="1368" t="s">
        <v>573</v>
      </c>
      <c r="AE4" s="1368" t="s">
        <v>574</v>
      </c>
      <c r="AF4" s="1368" t="s">
        <v>575</v>
      </c>
      <c r="AG4" s="1368" t="s">
        <v>576</v>
      </c>
      <c r="AH4" s="1372" t="s">
        <v>577</v>
      </c>
    </row>
    <row r="5" spans="1:34" ht="21" customHeight="1">
      <c r="A5" s="1395" t="s">
        <v>258</v>
      </c>
      <c r="B5" s="1396"/>
      <c r="C5" s="310"/>
      <c r="D5" s="74"/>
      <c r="E5" s="74"/>
      <c r="F5" s="74"/>
      <c r="G5" s="74"/>
      <c r="H5" s="74"/>
      <c r="I5" s="923">
        <f>I6+I29+I47+I99</f>
        <v>1603776</v>
      </c>
      <c r="J5" s="425"/>
      <c r="K5" s="76"/>
      <c r="L5" s="77"/>
      <c r="M5" s="78"/>
      <c r="N5" s="76"/>
      <c r="O5" s="76"/>
      <c r="P5" s="79"/>
      <c r="Q5" s="349">
        <f>Q6+Q29+Q47+Q99</f>
        <v>0</v>
      </c>
      <c r="R5" s="80">
        <f>R6+R29+R47+R99</f>
        <v>0</v>
      </c>
      <c r="T5" s="1374" t="s">
        <v>578</v>
      </c>
      <c r="U5" s="1375"/>
      <c r="W5" s="1367"/>
      <c r="X5" s="1369"/>
      <c r="Y5" s="1369"/>
      <c r="Z5" s="1369"/>
      <c r="AA5" s="1369"/>
      <c r="AB5" s="1369"/>
      <c r="AC5" s="1369"/>
      <c r="AD5" s="1369"/>
      <c r="AE5" s="1369"/>
      <c r="AF5" s="1369"/>
      <c r="AG5" s="1369"/>
      <c r="AH5" s="1373"/>
    </row>
    <row r="6" spans="1:34" ht="65.25" customHeight="1">
      <c r="A6" s="1393" t="s">
        <v>114</v>
      </c>
      <c r="B6" s="1394"/>
      <c r="C6" s="1394"/>
      <c r="D6" s="788"/>
      <c r="E6" s="788"/>
      <c r="F6" s="788"/>
      <c r="G6" s="788"/>
      <c r="H6" s="789"/>
      <c r="I6" s="924">
        <f>I50+I17</f>
        <v>228973</v>
      </c>
      <c r="J6" s="426"/>
      <c r="K6" s="343"/>
      <c r="L6" s="344"/>
      <c r="M6" s="345"/>
      <c r="N6" s="346"/>
      <c r="O6" s="346"/>
      <c r="P6" s="347"/>
      <c r="Q6" s="350">
        <f>Q50+Q17</f>
        <v>0</v>
      </c>
      <c r="R6" s="348">
        <f>R50+R17</f>
        <v>0</v>
      </c>
      <c r="T6" s="462" t="s">
        <v>579</v>
      </c>
      <c r="U6" s="463"/>
      <c r="W6" s="484" t="s">
        <v>579</v>
      </c>
      <c r="X6" s="485"/>
      <c r="Y6" s="485"/>
      <c r="Z6" s="485"/>
      <c r="AA6" s="485"/>
      <c r="AB6" s="485"/>
      <c r="AC6" s="485"/>
      <c r="AD6" s="485"/>
      <c r="AE6" s="485"/>
      <c r="AF6" s="485"/>
      <c r="AG6" s="485"/>
      <c r="AH6" s="486"/>
    </row>
    <row r="7" spans="1:34" ht="37.5" customHeight="1">
      <c r="A7" s="1301" t="s">
        <v>260</v>
      </c>
      <c r="B7" s="168">
        <v>1</v>
      </c>
      <c r="C7" s="180" t="s">
        <v>261</v>
      </c>
      <c r="D7" s="429" t="s">
        <v>582</v>
      </c>
      <c r="E7" s="56"/>
      <c r="F7" s="408"/>
      <c r="G7" s="408"/>
      <c r="H7" s="304"/>
      <c r="I7" s="925">
        <v>2344</v>
      </c>
      <c r="J7" s="182"/>
      <c r="K7" s="110" t="s">
        <v>946</v>
      </c>
      <c r="L7" s="172">
        <v>2</v>
      </c>
      <c r="M7" s="58">
        <v>0</v>
      </c>
      <c r="N7" s="108">
        <f>IF(L7,MIN(1,M7/L7),"")</f>
        <v>0</v>
      </c>
      <c r="O7" s="1312"/>
      <c r="P7" s="1314"/>
      <c r="Q7" s="57"/>
      <c r="R7" s="257"/>
      <c r="T7" s="466" t="s">
        <v>583</v>
      </c>
      <c r="U7" s="776" t="s">
        <v>584</v>
      </c>
      <c r="W7" s="500" t="s">
        <v>412</v>
      </c>
      <c r="X7" s="501" t="s">
        <v>412</v>
      </c>
      <c r="Y7" s="501" t="s">
        <v>412</v>
      </c>
      <c r="Z7" s="502" t="s">
        <v>412</v>
      </c>
      <c r="AA7" s="503" t="s">
        <v>412</v>
      </c>
      <c r="AB7" s="501" t="s">
        <v>412</v>
      </c>
      <c r="AC7" s="501" t="s">
        <v>412</v>
      </c>
      <c r="AD7" s="501" t="s">
        <v>412</v>
      </c>
      <c r="AE7" s="504" t="s">
        <v>412</v>
      </c>
      <c r="AF7" s="505" t="s">
        <v>585</v>
      </c>
      <c r="AG7" s="498" t="s">
        <v>950</v>
      </c>
      <c r="AH7" s="499" t="s">
        <v>587</v>
      </c>
    </row>
    <row r="8" spans="1:34" ht="38.25" customHeight="1">
      <c r="A8" s="1302"/>
      <c r="B8" s="353">
        <f>B7+1</f>
        <v>2</v>
      </c>
      <c r="C8" s="181" t="s">
        <v>262</v>
      </c>
      <c r="D8" s="430" t="s">
        <v>588</v>
      </c>
      <c r="E8" s="408"/>
      <c r="F8" s="408"/>
      <c r="G8" s="408"/>
      <c r="H8" s="408"/>
      <c r="I8" s="925">
        <v>10806</v>
      </c>
      <c r="J8" s="183"/>
      <c r="K8" s="110" t="s">
        <v>592</v>
      </c>
      <c r="L8" s="172">
        <v>7</v>
      </c>
      <c r="M8" s="58">
        <v>0</v>
      </c>
      <c r="N8" s="108">
        <f t="shared" ref="N8:N15" si="0">IF(L8,MIN(1,M8/L8),"")</f>
        <v>0</v>
      </c>
      <c r="O8" s="1313"/>
      <c r="P8" s="1315"/>
      <c r="Q8" s="57"/>
      <c r="R8" s="257"/>
      <c r="T8" s="466" t="s">
        <v>589</v>
      </c>
      <c r="U8" s="777" t="s">
        <v>951</v>
      </c>
      <c r="W8" s="500" t="s">
        <v>412</v>
      </c>
      <c r="X8" s="501" t="s">
        <v>412</v>
      </c>
      <c r="Y8" s="501" t="s">
        <v>412</v>
      </c>
      <c r="Z8" s="502" t="s">
        <v>412</v>
      </c>
      <c r="AA8" s="503" t="s">
        <v>412</v>
      </c>
      <c r="AB8" s="501" t="s">
        <v>412</v>
      </c>
      <c r="AC8" s="501" t="s">
        <v>412</v>
      </c>
      <c r="AD8" s="501" t="s">
        <v>412</v>
      </c>
      <c r="AE8" s="504" t="s">
        <v>412</v>
      </c>
      <c r="AF8" s="505" t="s">
        <v>585</v>
      </c>
      <c r="AG8" s="498" t="s">
        <v>950</v>
      </c>
      <c r="AH8" s="499" t="s">
        <v>587</v>
      </c>
    </row>
    <row r="9" spans="1:34" ht="39.75" customHeight="1">
      <c r="A9" s="1302"/>
      <c r="B9" s="353">
        <f t="shared" ref="B9:B15" si="1">B8+1</f>
        <v>3</v>
      </c>
      <c r="C9" s="181" t="s">
        <v>263</v>
      </c>
      <c r="D9" s="430" t="s">
        <v>582</v>
      </c>
      <c r="E9" s="408"/>
      <c r="F9" s="408"/>
      <c r="G9" s="408"/>
      <c r="H9" s="408"/>
      <c r="I9" s="925">
        <v>1641</v>
      </c>
      <c r="J9" s="183"/>
      <c r="K9" s="110" t="s">
        <v>946</v>
      </c>
      <c r="L9" s="172">
        <v>1</v>
      </c>
      <c r="M9" s="58">
        <v>0</v>
      </c>
      <c r="N9" s="108">
        <f t="shared" si="0"/>
        <v>0</v>
      </c>
      <c r="O9" s="1313"/>
      <c r="P9" s="1315"/>
      <c r="Q9" s="57"/>
      <c r="R9" s="257"/>
      <c r="T9" s="466" t="s">
        <v>590</v>
      </c>
      <c r="U9" s="777" t="s">
        <v>591</v>
      </c>
      <c r="W9" s="500" t="s">
        <v>412</v>
      </c>
      <c r="X9" s="501" t="s">
        <v>412</v>
      </c>
      <c r="Y9" s="501" t="s">
        <v>412</v>
      </c>
      <c r="Z9" s="502" t="s">
        <v>412</v>
      </c>
      <c r="AA9" s="503" t="s">
        <v>412</v>
      </c>
      <c r="AB9" s="501" t="s">
        <v>412</v>
      </c>
      <c r="AC9" s="501" t="s">
        <v>412</v>
      </c>
      <c r="AD9" s="501" t="s">
        <v>412</v>
      </c>
      <c r="AE9" s="504" t="s">
        <v>412</v>
      </c>
      <c r="AF9" s="505" t="s">
        <v>585</v>
      </c>
      <c r="AG9" s="498" t="s">
        <v>950</v>
      </c>
      <c r="AH9" s="499" t="s">
        <v>587</v>
      </c>
    </row>
    <row r="10" spans="1:34" ht="36" customHeight="1">
      <c r="A10" s="1302"/>
      <c r="B10" s="353">
        <f t="shared" si="1"/>
        <v>4</v>
      </c>
      <c r="C10" s="181" t="s">
        <v>264</v>
      </c>
      <c r="D10" s="430" t="s">
        <v>582</v>
      </c>
      <c r="E10" s="408"/>
      <c r="F10" s="408"/>
      <c r="G10" s="408"/>
      <c r="H10" s="408"/>
      <c r="I10" s="925">
        <v>5469</v>
      </c>
      <c r="J10" s="183"/>
      <c r="K10" s="110" t="s">
        <v>592</v>
      </c>
      <c r="L10" s="172">
        <v>2</v>
      </c>
      <c r="M10" s="58">
        <v>0</v>
      </c>
      <c r="N10" s="108">
        <f t="shared" si="0"/>
        <v>0</v>
      </c>
      <c r="O10" s="1313"/>
      <c r="P10" s="1315"/>
      <c r="Q10" s="57"/>
      <c r="R10" s="257"/>
      <c r="T10" s="466" t="s">
        <v>593</v>
      </c>
      <c r="U10" s="777" t="s">
        <v>594</v>
      </c>
      <c r="W10" s="500" t="s">
        <v>412</v>
      </c>
      <c r="X10" s="501" t="s">
        <v>412</v>
      </c>
      <c r="Y10" s="501" t="s">
        <v>412</v>
      </c>
      <c r="Z10" s="502" t="s">
        <v>412</v>
      </c>
      <c r="AA10" s="503" t="s">
        <v>412</v>
      </c>
      <c r="AB10" s="501" t="s">
        <v>412</v>
      </c>
      <c r="AC10" s="501" t="s">
        <v>412</v>
      </c>
      <c r="AD10" s="501" t="s">
        <v>412</v>
      </c>
      <c r="AE10" s="504" t="s">
        <v>412</v>
      </c>
      <c r="AF10" s="505" t="s">
        <v>585</v>
      </c>
      <c r="AG10" s="498" t="s">
        <v>950</v>
      </c>
      <c r="AH10" s="499" t="s">
        <v>587</v>
      </c>
    </row>
    <row r="11" spans="1:34" ht="46.5" customHeight="1">
      <c r="A11" s="1302"/>
      <c r="B11" s="353">
        <f t="shared" si="1"/>
        <v>5</v>
      </c>
      <c r="C11" s="181" t="s">
        <v>265</v>
      </c>
      <c r="D11" s="430" t="s">
        <v>595</v>
      </c>
      <c r="E11" s="408"/>
      <c r="F11" s="408"/>
      <c r="G11" s="408"/>
      <c r="H11" s="408"/>
      <c r="I11" s="925">
        <v>5391</v>
      </c>
      <c r="J11" s="183"/>
      <c r="K11" s="110" t="s">
        <v>592</v>
      </c>
      <c r="L11" s="172">
        <v>3</v>
      </c>
      <c r="M11" s="58">
        <v>0</v>
      </c>
      <c r="N11" s="108">
        <f t="shared" si="0"/>
        <v>0</v>
      </c>
      <c r="O11" s="1313"/>
      <c r="P11" s="1315"/>
      <c r="Q11" s="57"/>
      <c r="R11" s="257"/>
      <c r="T11" s="466" t="s">
        <v>596</v>
      </c>
      <c r="U11" s="777" t="s">
        <v>952</v>
      </c>
      <c r="W11" s="500" t="s">
        <v>412</v>
      </c>
      <c r="X11" s="501" t="s">
        <v>412</v>
      </c>
      <c r="Y11" s="501" t="s">
        <v>412</v>
      </c>
      <c r="Z11" s="502" t="s">
        <v>412</v>
      </c>
      <c r="AA11" s="503" t="s">
        <v>412</v>
      </c>
      <c r="AB11" s="501" t="s">
        <v>412</v>
      </c>
      <c r="AC11" s="501" t="s">
        <v>412</v>
      </c>
      <c r="AD11" s="501" t="s">
        <v>412</v>
      </c>
      <c r="AE11" s="504" t="s">
        <v>412</v>
      </c>
      <c r="AF11" s="505" t="s">
        <v>585</v>
      </c>
      <c r="AG11" s="498" t="s">
        <v>950</v>
      </c>
      <c r="AH11" s="499" t="s">
        <v>587</v>
      </c>
    </row>
    <row r="12" spans="1:34" ht="124.5" customHeight="1">
      <c r="A12" s="1302"/>
      <c r="B12" s="353">
        <f t="shared" si="1"/>
        <v>6</v>
      </c>
      <c r="C12" s="181" t="s">
        <v>266</v>
      </c>
      <c r="D12" s="430" t="s">
        <v>595</v>
      </c>
      <c r="E12" s="56"/>
      <c r="F12" s="408"/>
      <c r="G12" s="408"/>
      <c r="H12" s="304"/>
      <c r="I12" s="925">
        <v>7813</v>
      </c>
      <c r="J12" s="183"/>
      <c r="K12" s="110" t="s">
        <v>592</v>
      </c>
      <c r="L12" s="172">
        <v>20</v>
      </c>
      <c r="M12" s="58">
        <v>15</v>
      </c>
      <c r="N12" s="108">
        <f t="shared" si="0"/>
        <v>0.75</v>
      </c>
      <c r="O12" s="1313"/>
      <c r="P12" s="1315"/>
      <c r="Q12" s="57"/>
      <c r="R12" s="257"/>
      <c r="T12" s="466" t="s">
        <v>598</v>
      </c>
      <c r="U12" s="777" t="s">
        <v>953</v>
      </c>
      <c r="W12" s="500" t="s">
        <v>412</v>
      </c>
      <c r="X12" s="501" t="s">
        <v>412</v>
      </c>
      <c r="Y12" s="501" t="s">
        <v>412</v>
      </c>
      <c r="Z12" s="502" t="s">
        <v>412</v>
      </c>
      <c r="AA12" s="503" t="s">
        <v>412</v>
      </c>
      <c r="AB12" s="501" t="s">
        <v>412</v>
      </c>
      <c r="AC12" s="501" t="s">
        <v>412</v>
      </c>
      <c r="AD12" s="501" t="s">
        <v>412</v>
      </c>
      <c r="AE12" s="504" t="s">
        <v>412</v>
      </c>
      <c r="AF12" s="505" t="s">
        <v>585</v>
      </c>
      <c r="AG12" s="498" t="s">
        <v>950</v>
      </c>
      <c r="AH12" s="499" t="s">
        <v>587</v>
      </c>
    </row>
    <row r="13" spans="1:34" ht="31.5" customHeight="1">
      <c r="A13" s="1302"/>
      <c r="B13" s="353">
        <f t="shared" si="1"/>
        <v>7</v>
      </c>
      <c r="C13" s="181" t="s">
        <v>267</v>
      </c>
      <c r="D13" s="430" t="s">
        <v>78</v>
      </c>
      <c r="E13" s="56"/>
      <c r="F13" s="408"/>
      <c r="G13" s="408"/>
      <c r="H13" s="304"/>
      <c r="I13" s="925">
        <v>15150</v>
      </c>
      <c r="J13" s="183"/>
      <c r="K13" s="110" t="s">
        <v>536</v>
      </c>
      <c r="L13" s="172">
        <v>1</v>
      </c>
      <c r="M13" s="58">
        <v>1</v>
      </c>
      <c r="N13" s="108">
        <f t="shared" si="0"/>
        <v>1</v>
      </c>
      <c r="O13" s="1313"/>
      <c r="P13" s="1315"/>
      <c r="Q13" s="57"/>
      <c r="R13" s="257"/>
      <c r="T13" s="466" t="s">
        <v>601</v>
      </c>
      <c r="U13" s="777" t="s">
        <v>954</v>
      </c>
      <c r="W13" s="500"/>
      <c r="X13" s="501"/>
      <c r="Y13" s="501"/>
      <c r="Z13" s="502"/>
      <c r="AA13" s="503"/>
      <c r="AB13" s="501"/>
      <c r="AC13" s="501"/>
      <c r="AD13" s="501"/>
      <c r="AE13" s="504"/>
      <c r="AF13" s="505"/>
      <c r="AG13" s="498"/>
      <c r="AH13" s="499"/>
    </row>
    <row r="14" spans="1:34" ht="31.5" customHeight="1">
      <c r="A14" s="1302"/>
      <c r="B14" s="353">
        <f t="shared" si="1"/>
        <v>8</v>
      </c>
      <c r="C14" s="181" t="s">
        <v>602</v>
      </c>
      <c r="D14" s="430" t="s">
        <v>588</v>
      </c>
      <c r="E14" s="408"/>
      <c r="G14" s="408"/>
      <c r="H14" s="304"/>
      <c r="I14" s="925">
        <v>2734</v>
      </c>
      <c r="J14" s="183"/>
      <c r="K14" s="110" t="s">
        <v>603</v>
      </c>
      <c r="L14" s="172">
        <v>2</v>
      </c>
      <c r="M14" s="58">
        <v>3</v>
      </c>
      <c r="N14" s="108">
        <f t="shared" si="0"/>
        <v>1</v>
      </c>
      <c r="O14" s="1313"/>
      <c r="P14" s="1315"/>
      <c r="Q14" s="57"/>
      <c r="R14" s="257"/>
      <c r="T14" s="466" t="s">
        <v>604</v>
      </c>
      <c r="U14" s="777" t="s">
        <v>605</v>
      </c>
      <c r="W14" s="500" t="s">
        <v>412</v>
      </c>
      <c r="X14" s="501" t="s">
        <v>412</v>
      </c>
      <c r="Y14" s="501" t="s">
        <v>412</v>
      </c>
      <c r="Z14" s="502" t="s">
        <v>412</v>
      </c>
      <c r="AA14" s="503" t="s">
        <v>412</v>
      </c>
      <c r="AB14" s="501" t="s">
        <v>412</v>
      </c>
      <c r="AC14" s="501" t="s">
        <v>412</v>
      </c>
      <c r="AD14" s="501" t="s">
        <v>412</v>
      </c>
      <c r="AE14" s="504" t="s">
        <v>412</v>
      </c>
      <c r="AF14" s="505" t="s">
        <v>585</v>
      </c>
      <c r="AG14" s="498" t="s">
        <v>606</v>
      </c>
      <c r="AH14" s="499" t="s">
        <v>587</v>
      </c>
    </row>
    <row r="15" spans="1:34" ht="31.5" customHeight="1">
      <c r="A15" s="1310"/>
      <c r="B15" s="353">
        <f t="shared" si="1"/>
        <v>9</v>
      </c>
      <c r="C15" s="181" t="s">
        <v>269</v>
      </c>
      <c r="D15" s="430" t="s">
        <v>607</v>
      </c>
      <c r="E15" s="408"/>
      <c r="F15" s="408"/>
      <c r="G15" s="408"/>
      <c r="H15" s="408"/>
      <c r="I15" s="925">
        <v>9375</v>
      </c>
      <c r="J15" s="183"/>
      <c r="K15" s="110" t="s">
        <v>608</v>
      </c>
      <c r="L15" s="172">
        <v>12</v>
      </c>
      <c r="M15" s="58">
        <v>12</v>
      </c>
      <c r="N15" s="108">
        <f t="shared" si="0"/>
        <v>1</v>
      </c>
      <c r="O15" s="1313"/>
      <c r="P15" s="1315"/>
      <c r="Q15" s="57"/>
      <c r="R15" s="257"/>
      <c r="T15" s="466" t="s">
        <v>609</v>
      </c>
      <c r="U15" s="778" t="s">
        <v>610</v>
      </c>
      <c r="W15" s="500" t="s">
        <v>412</v>
      </c>
      <c r="X15" s="501" t="s">
        <v>412</v>
      </c>
      <c r="Y15" s="501" t="s">
        <v>412</v>
      </c>
      <c r="Z15" s="502" t="s">
        <v>412</v>
      </c>
      <c r="AA15" s="503" t="s">
        <v>412</v>
      </c>
      <c r="AB15" s="501" t="s">
        <v>412</v>
      </c>
      <c r="AC15" s="501" t="s">
        <v>412</v>
      </c>
      <c r="AD15" s="501" t="s">
        <v>412</v>
      </c>
      <c r="AE15" s="504" t="s">
        <v>412</v>
      </c>
      <c r="AF15" s="505" t="s">
        <v>585</v>
      </c>
      <c r="AG15" s="498" t="s">
        <v>950</v>
      </c>
      <c r="AH15" s="499" t="s">
        <v>587</v>
      </c>
    </row>
    <row r="16" spans="1:34">
      <c r="A16" s="1311"/>
      <c r="B16" s="65"/>
      <c r="C16" s="66"/>
      <c r="D16" s="189"/>
      <c r="E16" s="67"/>
      <c r="F16" s="67"/>
      <c r="G16" s="67"/>
      <c r="H16" s="66"/>
      <c r="I16" s="926">
        <f t="shared" ref="I16" si="2">SUM(I7:I15)</f>
        <v>60723</v>
      </c>
      <c r="J16" s="358"/>
      <c r="K16" s="111"/>
      <c r="L16" s="440">
        <f>SUM(L7:L15)</f>
        <v>50</v>
      </c>
      <c r="M16" s="443">
        <f>SUM(M7:M15)</f>
        <v>31</v>
      </c>
      <c r="N16" s="444">
        <f>IFERROR(AVERAGE(N7:N15),"")</f>
        <v>0.41666666666666669</v>
      </c>
      <c r="O16" s="380">
        <f>IFERROR(AVERAGE(N7:N15),"")</f>
        <v>0.41666666666666669</v>
      </c>
      <c r="P16" s="1315"/>
      <c r="Q16" s="352">
        <f>SUM(Q7:Q15)</f>
        <v>0</v>
      </c>
      <c r="R16" s="70">
        <f>SUM(R7:R15)</f>
        <v>0</v>
      </c>
      <c r="T16" s="68"/>
      <c r="U16" s="467"/>
      <c r="W16" s="478"/>
      <c r="X16" s="67"/>
      <c r="Y16" s="67"/>
      <c r="Z16" s="67"/>
      <c r="AA16" s="67"/>
      <c r="AB16" s="67"/>
      <c r="AC16" s="67"/>
      <c r="AD16" s="67"/>
      <c r="AE16" s="67"/>
      <c r="AF16" s="67"/>
      <c r="AG16" s="67"/>
      <c r="AH16" s="467"/>
    </row>
    <row r="17" spans="1:34" ht="30.75" customHeight="1">
      <c r="A17" s="360" t="s">
        <v>270</v>
      </c>
      <c r="B17" s="361"/>
      <c r="C17" s="361"/>
      <c r="D17" s="362"/>
      <c r="E17" s="363" t="s">
        <v>248</v>
      </c>
      <c r="F17" s="364" t="s">
        <v>249</v>
      </c>
      <c r="G17" s="364" t="s">
        <v>250</v>
      </c>
      <c r="H17" s="365" t="s">
        <v>251</v>
      </c>
      <c r="I17" s="927">
        <f>I19+I24+I28</f>
        <v>168250</v>
      </c>
      <c r="J17" s="366"/>
      <c r="K17" s="367"/>
      <c r="L17" s="368"/>
      <c r="M17" s="369"/>
      <c r="N17" s="370"/>
      <c r="O17" s="371"/>
      <c r="P17" s="1315"/>
      <c r="Q17" s="373">
        <f>Q19+Q24+Q28</f>
        <v>0</v>
      </c>
      <c r="R17" s="374">
        <f>R19+R24+R28</f>
        <v>0</v>
      </c>
      <c r="T17" s="464" t="s">
        <v>270</v>
      </c>
      <c r="U17" s="465"/>
      <c r="W17" s="464" t="s">
        <v>270</v>
      </c>
      <c r="X17" s="465"/>
      <c r="Y17" s="465"/>
      <c r="Z17" s="465"/>
      <c r="AA17" s="465"/>
      <c r="AB17" s="465"/>
      <c r="AC17" s="465"/>
      <c r="AD17" s="465"/>
      <c r="AE17" s="465"/>
      <c r="AF17" s="465"/>
      <c r="AG17" s="465"/>
      <c r="AH17" s="465"/>
    </row>
    <row r="18" spans="1:34" ht="57.75" customHeight="1">
      <c r="A18" s="1317" t="s">
        <v>271</v>
      </c>
      <c r="B18" s="168">
        <f>B15+1</f>
        <v>10</v>
      </c>
      <c r="C18" s="180" t="s">
        <v>955</v>
      </c>
      <c r="D18" s="422" t="s">
        <v>595</v>
      </c>
      <c r="E18" s="56"/>
      <c r="F18" s="408"/>
      <c r="G18" s="408"/>
      <c r="H18" s="304"/>
      <c r="I18" s="925">
        <v>12000</v>
      </c>
      <c r="J18" s="182"/>
      <c r="K18" s="110" t="s">
        <v>611</v>
      </c>
      <c r="L18" s="172">
        <v>1</v>
      </c>
      <c r="M18" s="58">
        <v>0</v>
      </c>
      <c r="N18" s="376">
        <f>IF(L18,MIN(1,M18/L18),"")</f>
        <v>0</v>
      </c>
      <c r="O18" s="1318"/>
      <c r="P18" s="1315"/>
      <c r="Q18" s="57"/>
      <c r="R18" s="257"/>
      <c r="T18" s="466" t="s">
        <v>612</v>
      </c>
      <c r="U18" s="497" t="s">
        <v>613</v>
      </c>
      <c r="W18" s="500" t="s">
        <v>412</v>
      </c>
      <c r="X18" s="501" t="s">
        <v>412</v>
      </c>
      <c r="Y18" s="501" t="s">
        <v>412</v>
      </c>
      <c r="Z18" s="502" t="s">
        <v>412</v>
      </c>
      <c r="AA18" s="503" t="s">
        <v>412</v>
      </c>
      <c r="AB18" s="501" t="s">
        <v>412</v>
      </c>
      <c r="AC18" s="501" t="s">
        <v>412</v>
      </c>
      <c r="AD18" s="501" t="s">
        <v>412</v>
      </c>
      <c r="AE18" s="504" t="s">
        <v>412</v>
      </c>
      <c r="AF18" s="505" t="s">
        <v>585</v>
      </c>
      <c r="AG18" s="498" t="s">
        <v>614</v>
      </c>
      <c r="AH18" s="499" t="s">
        <v>587</v>
      </c>
    </row>
    <row r="19" spans="1:34">
      <c r="A19" s="1311"/>
      <c r="B19" s="65"/>
      <c r="C19" s="66"/>
      <c r="D19" s="189"/>
      <c r="E19" s="67"/>
      <c r="F19" s="67"/>
      <c r="G19" s="67"/>
      <c r="H19" s="66"/>
      <c r="I19" s="926">
        <f t="shared" ref="I19" si="3">SUM(I18:I18)</f>
        <v>12000</v>
      </c>
      <c r="J19" s="358"/>
      <c r="K19" s="111"/>
      <c r="L19" s="440">
        <f>SUM(L18:L18)</f>
        <v>1</v>
      </c>
      <c r="M19" s="443">
        <f>SUM(M18:M18)</f>
        <v>0</v>
      </c>
      <c r="N19" s="273">
        <f>IFERROR(AVERAGE(N18:N18),"")</f>
        <v>0</v>
      </c>
      <c r="O19" s="1319"/>
      <c r="P19" s="1315"/>
      <c r="Q19" s="352">
        <f>SUM(Q18:Q18)</f>
        <v>0</v>
      </c>
      <c r="R19" s="70">
        <f>SUM(R18:R18)</f>
        <v>0</v>
      </c>
      <c r="T19" s="68"/>
      <c r="U19" s="468"/>
      <c r="W19" s="478"/>
      <c r="X19" s="67"/>
      <c r="Y19" s="67"/>
      <c r="Z19" s="67"/>
      <c r="AA19" s="67"/>
      <c r="AB19" s="67"/>
      <c r="AC19" s="67"/>
      <c r="AD19" s="67"/>
      <c r="AE19" s="67"/>
      <c r="AF19" s="67"/>
      <c r="AG19" s="67"/>
      <c r="AH19" s="467"/>
    </row>
    <row r="20" spans="1:34" ht="31.5" customHeight="1">
      <c r="A20" s="1321" t="s">
        <v>273</v>
      </c>
      <c r="B20" s="168">
        <f>B18+1</f>
        <v>11</v>
      </c>
      <c r="C20" s="180" t="s">
        <v>274</v>
      </c>
      <c r="D20" s="181" t="s">
        <v>78</v>
      </c>
      <c r="E20" s="56"/>
      <c r="F20" s="408"/>
      <c r="G20" s="408"/>
      <c r="H20" s="408"/>
      <c r="I20" s="925">
        <v>3906</v>
      </c>
      <c r="J20" s="357"/>
      <c r="K20" s="112" t="s">
        <v>488</v>
      </c>
      <c r="L20" s="174">
        <v>1</v>
      </c>
      <c r="M20" s="58">
        <v>1</v>
      </c>
      <c r="N20" s="108">
        <f t="shared" ref="N20:N23" si="4">IF(L20,MIN(1,M20/L20),"")</f>
        <v>1</v>
      </c>
      <c r="O20" s="1319"/>
      <c r="P20" s="1315"/>
      <c r="Q20" s="57"/>
      <c r="R20" s="258"/>
      <c r="T20" s="466" t="s">
        <v>615</v>
      </c>
      <c r="U20" s="776" t="s">
        <v>616</v>
      </c>
      <c r="W20" s="500" t="s">
        <v>412</v>
      </c>
      <c r="X20" s="501" t="s">
        <v>412</v>
      </c>
      <c r="Y20" s="501" t="s">
        <v>412</v>
      </c>
      <c r="Z20" s="502" t="s">
        <v>412</v>
      </c>
      <c r="AA20" s="503" t="s">
        <v>412</v>
      </c>
      <c r="AB20" s="501" t="s">
        <v>412</v>
      </c>
      <c r="AC20" s="501" t="s">
        <v>617</v>
      </c>
      <c r="AD20" s="501" t="s">
        <v>412</v>
      </c>
      <c r="AE20" s="504" t="s">
        <v>618</v>
      </c>
      <c r="AF20" s="505" t="s">
        <v>585</v>
      </c>
      <c r="AG20" s="498" t="s">
        <v>956</v>
      </c>
      <c r="AH20" s="499" t="s">
        <v>587</v>
      </c>
    </row>
    <row r="21" spans="1:34" ht="31.5" customHeight="1">
      <c r="A21" s="1322"/>
      <c r="B21" s="353">
        <f>B20+1</f>
        <v>12</v>
      </c>
      <c r="C21" s="181" t="s">
        <v>957</v>
      </c>
      <c r="D21" s="181" t="s">
        <v>78</v>
      </c>
      <c r="E21" s="408"/>
      <c r="F21" s="408"/>
      <c r="G21" s="408"/>
      <c r="H21" s="304"/>
      <c r="I21" s="925">
        <v>7813</v>
      </c>
      <c r="J21" s="357"/>
      <c r="K21" s="110" t="s">
        <v>488</v>
      </c>
      <c r="L21" s="172">
        <v>2</v>
      </c>
      <c r="M21" s="58">
        <v>0</v>
      </c>
      <c r="N21" s="108">
        <f t="shared" si="4"/>
        <v>0</v>
      </c>
      <c r="O21" s="1319"/>
      <c r="P21" s="1315"/>
      <c r="Q21" s="57"/>
      <c r="R21" s="257"/>
      <c r="T21" s="466" t="s">
        <v>620</v>
      </c>
      <c r="U21" s="777" t="s">
        <v>958</v>
      </c>
      <c r="W21" s="500" t="s">
        <v>412</v>
      </c>
      <c r="X21" s="501" t="s">
        <v>412</v>
      </c>
      <c r="Y21" s="501" t="s">
        <v>412</v>
      </c>
      <c r="Z21" s="502" t="s">
        <v>412</v>
      </c>
      <c r="AA21" s="503" t="s">
        <v>412</v>
      </c>
      <c r="AB21" s="501" t="s">
        <v>412</v>
      </c>
      <c r="AC21" s="501" t="s">
        <v>617</v>
      </c>
      <c r="AD21" s="501" t="s">
        <v>412</v>
      </c>
      <c r="AE21" s="504" t="s">
        <v>618</v>
      </c>
      <c r="AF21" s="505" t="s">
        <v>585</v>
      </c>
      <c r="AG21" s="498" t="s">
        <v>956</v>
      </c>
      <c r="AH21" s="499" t="s">
        <v>587</v>
      </c>
    </row>
    <row r="22" spans="1:34" ht="31.5">
      <c r="A22" s="1322"/>
      <c r="B22" s="353">
        <f t="shared" ref="B22:B23" si="5">B21+1</f>
        <v>13</v>
      </c>
      <c r="C22" s="181" t="s">
        <v>959</v>
      </c>
      <c r="D22" s="181" t="s">
        <v>485</v>
      </c>
      <c r="E22" s="56"/>
      <c r="F22" s="408"/>
      <c r="G22" s="408"/>
      <c r="H22" s="304"/>
      <c r="I22" s="925">
        <v>3906</v>
      </c>
      <c r="J22" s="357"/>
      <c r="K22" s="110" t="s">
        <v>489</v>
      </c>
      <c r="L22" s="172">
        <v>4</v>
      </c>
      <c r="M22" s="58">
        <v>3</v>
      </c>
      <c r="N22" s="108">
        <f t="shared" si="4"/>
        <v>0.75</v>
      </c>
      <c r="O22" s="1319"/>
      <c r="P22" s="1315"/>
      <c r="Q22" s="57"/>
      <c r="R22" s="257"/>
      <c r="T22" s="466" t="s">
        <v>622</v>
      </c>
      <c r="U22" s="777" t="s">
        <v>623</v>
      </c>
      <c r="W22" s="500" t="s">
        <v>412</v>
      </c>
      <c r="X22" s="501" t="s">
        <v>412</v>
      </c>
      <c r="Y22" s="501" t="s">
        <v>412</v>
      </c>
      <c r="Z22" s="502" t="s">
        <v>412</v>
      </c>
      <c r="AA22" s="503" t="s">
        <v>412</v>
      </c>
      <c r="AB22" s="501" t="s">
        <v>412</v>
      </c>
      <c r="AC22" s="501" t="s">
        <v>412</v>
      </c>
      <c r="AD22" s="501" t="s">
        <v>412</v>
      </c>
      <c r="AE22" s="504" t="s">
        <v>412</v>
      </c>
      <c r="AF22" s="505" t="s">
        <v>585</v>
      </c>
      <c r="AG22" s="498" t="s">
        <v>624</v>
      </c>
      <c r="AH22" s="499" t="s">
        <v>587</v>
      </c>
    </row>
    <row r="23" spans="1:34" ht="31.5" customHeight="1">
      <c r="A23" s="1322"/>
      <c r="B23" s="353">
        <f t="shared" si="5"/>
        <v>14</v>
      </c>
      <c r="C23" s="181" t="s">
        <v>960</v>
      </c>
      <c r="D23" s="181" t="s">
        <v>490</v>
      </c>
      <c r="E23" s="56"/>
      <c r="F23" s="408"/>
      <c r="G23" s="408"/>
      <c r="H23" s="304"/>
      <c r="I23" s="925">
        <v>3906</v>
      </c>
      <c r="J23" s="357"/>
      <c r="K23" s="110" t="s">
        <v>489</v>
      </c>
      <c r="L23" s="172">
        <v>4</v>
      </c>
      <c r="M23" s="58">
        <v>3</v>
      </c>
      <c r="N23" s="108">
        <f t="shared" si="4"/>
        <v>0.75</v>
      </c>
      <c r="O23" s="1319"/>
      <c r="P23" s="1315"/>
      <c r="Q23" s="57"/>
      <c r="R23" s="257"/>
      <c r="T23" s="466" t="s">
        <v>625</v>
      </c>
      <c r="U23" s="777" t="s">
        <v>626</v>
      </c>
      <c r="W23" s="500" t="s">
        <v>412</v>
      </c>
      <c r="X23" s="501" t="s">
        <v>412</v>
      </c>
      <c r="Y23" s="501" t="s">
        <v>412</v>
      </c>
      <c r="Z23" s="502" t="s">
        <v>412</v>
      </c>
      <c r="AA23" s="503" t="s">
        <v>412</v>
      </c>
      <c r="AB23" s="501" t="s">
        <v>412</v>
      </c>
      <c r="AC23" s="501" t="s">
        <v>412</v>
      </c>
      <c r="AD23" s="501" t="s">
        <v>412</v>
      </c>
      <c r="AE23" s="504" t="s">
        <v>412</v>
      </c>
      <c r="AF23" s="505" t="s">
        <v>585</v>
      </c>
      <c r="AG23" s="498" t="s">
        <v>627</v>
      </c>
      <c r="AH23" s="499" t="s">
        <v>587</v>
      </c>
    </row>
    <row r="24" spans="1:34">
      <c r="A24" s="1323"/>
      <c r="B24" s="65"/>
      <c r="C24" s="66"/>
      <c r="D24" s="189"/>
      <c r="E24" s="413"/>
      <c r="F24" s="413"/>
      <c r="G24" s="413"/>
      <c r="H24" s="414"/>
      <c r="I24" s="926">
        <f>SUM(I20:I23)</f>
        <v>19531</v>
      </c>
      <c r="J24" s="358"/>
      <c r="K24" s="111"/>
      <c r="L24" s="440">
        <f>SUM(L20:L23)</f>
        <v>11</v>
      </c>
      <c r="M24" s="443">
        <f>SUM(M20:M23)</f>
        <v>7</v>
      </c>
      <c r="N24" s="273">
        <f>IFERROR(AVERAGE(N20:N23),"")</f>
        <v>0.625</v>
      </c>
      <c r="O24" s="1319"/>
      <c r="P24" s="1315"/>
      <c r="Q24" s="352">
        <f>SUM(Q20:Q23)</f>
        <v>0</v>
      </c>
      <c r="R24" s="70">
        <f>SUM(R20:R23)</f>
        <v>0</v>
      </c>
      <c r="T24" s="68"/>
      <c r="U24" s="888"/>
      <c r="W24" s="478"/>
      <c r="X24" s="67"/>
      <c r="Y24" s="67"/>
      <c r="Z24" s="67"/>
      <c r="AA24" s="67"/>
      <c r="AB24" s="67"/>
      <c r="AC24" s="67"/>
      <c r="AD24" s="67"/>
      <c r="AE24" s="67"/>
      <c r="AF24" s="67"/>
      <c r="AG24" s="67"/>
      <c r="AH24" s="467"/>
    </row>
    <row r="25" spans="1:34" ht="31.5" customHeight="1">
      <c r="A25" s="1321" t="s">
        <v>278</v>
      </c>
      <c r="B25" s="168">
        <v>15</v>
      </c>
      <c r="C25" s="180" t="s">
        <v>279</v>
      </c>
      <c r="D25" s="422" t="s">
        <v>78</v>
      </c>
      <c r="E25" s="56"/>
      <c r="F25" s="408"/>
      <c r="G25" s="408"/>
      <c r="H25" s="408"/>
      <c r="I25" s="925">
        <v>11719</v>
      </c>
      <c r="J25" s="182"/>
      <c r="K25" s="113" t="s">
        <v>628</v>
      </c>
      <c r="L25" s="174">
        <v>20</v>
      </c>
      <c r="M25" s="58">
        <v>15</v>
      </c>
      <c r="N25" s="108">
        <f t="shared" ref="N25:N27" si="6">IF(L25,MIN(1,M25/L25),"")</f>
        <v>0.75</v>
      </c>
      <c r="O25" s="1319"/>
      <c r="P25" s="1315"/>
      <c r="Q25" s="57"/>
      <c r="R25" s="258"/>
      <c r="T25" s="466" t="s">
        <v>629</v>
      </c>
      <c r="U25" s="777" t="s">
        <v>961</v>
      </c>
      <c r="W25" s="500" t="s">
        <v>412</v>
      </c>
      <c r="X25" s="501" t="s">
        <v>412</v>
      </c>
      <c r="Y25" s="501" t="s">
        <v>412</v>
      </c>
      <c r="Z25" s="502" t="s">
        <v>412</v>
      </c>
      <c r="AA25" s="503" t="s">
        <v>631</v>
      </c>
      <c r="AB25" s="501" t="s">
        <v>412</v>
      </c>
      <c r="AC25" s="501" t="s">
        <v>632</v>
      </c>
      <c r="AD25" s="501" t="s">
        <v>412</v>
      </c>
      <c r="AE25" s="504" t="s">
        <v>618</v>
      </c>
      <c r="AF25" s="505" t="s">
        <v>585</v>
      </c>
      <c r="AG25" s="498" t="s">
        <v>633</v>
      </c>
      <c r="AH25" s="499" t="s">
        <v>587</v>
      </c>
    </row>
    <row r="26" spans="1:34" ht="51" customHeight="1">
      <c r="A26" s="1322"/>
      <c r="B26" s="353"/>
      <c r="C26" s="181" t="s">
        <v>280</v>
      </c>
      <c r="D26" s="431" t="s">
        <v>78</v>
      </c>
      <c r="E26" s="56"/>
      <c r="F26" s="56"/>
      <c r="G26" s="56"/>
      <c r="H26" s="304"/>
      <c r="I26" s="925" t="s">
        <v>962</v>
      </c>
      <c r="J26" s="183"/>
      <c r="K26" s="110" t="s">
        <v>628</v>
      </c>
      <c r="L26" s="172"/>
      <c r="M26" s="58"/>
      <c r="N26" s="108" t="str">
        <f t="shared" si="6"/>
        <v/>
      </c>
      <c r="O26" s="1319"/>
      <c r="P26" s="1315"/>
      <c r="Q26" s="57"/>
      <c r="R26" s="257"/>
      <c r="T26" s="466" t="s">
        <v>634</v>
      </c>
      <c r="U26" s="777" t="s">
        <v>963</v>
      </c>
      <c r="W26" s="500" t="s">
        <v>412</v>
      </c>
      <c r="X26" s="501" t="s">
        <v>412</v>
      </c>
      <c r="Y26" s="501" t="s">
        <v>412</v>
      </c>
      <c r="Z26" s="502" t="s">
        <v>412</v>
      </c>
      <c r="AA26" s="503" t="s">
        <v>412</v>
      </c>
      <c r="AB26" s="501" t="s">
        <v>412</v>
      </c>
      <c r="AC26" s="501" t="s">
        <v>585</v>
      </c>
      <c r="AD26" s="501" t="s">
        <v>412</v>
      </c>
      <c r="AE26" s="504" t="s">
        <v>618</v>
      </c>
      <c r="AF26" s="505" t="s">
        <v>585</v>
      </c>
      <c r="AG26" s="498" t="s">
        <v>636</v>
      </c>
      <c r="AH26" s="499" t="s">
        <v>587</v>
      </c>
    </row>
    <row r="27" spans="1:34" ht="42">
      <c r="A27" s="1322"/>
      <c r="B27" s="353">
        <v>16</v>
      </c>
      <c r="C27" s="181" t="s">
        <v>964</v>
      </c>
      <c r="D27" s="431" t="s">
        <v>637</v>
      </c>
      <c r="E27" s="408"/>
      <c r="F27" s="408"/>
      <c r="G27" s="408"/>
      <c r="H27" s="408"/>
      <c r="I27" s="925">
        <v>125000</v>
      </c>
      <c r="J27" s="183"/>
      <c r="K27" s="110" t="s">
        <v>628</v>
      </c>
      <c r="L27" s="172">
        <v>6</v>
      </c>
      <c r="M27" s="58">
        <v>6</v>
      </c>
      <c r="N27" s="108">
        <f t="shared" si="6"/>
        <v>1</v>
      </c>
      <c r="O27" s="1320"/>
      <c r="P27" s="1316"/>
      <c r="Q27" s="57"/>
      <c r="R27" s="257"/>
      <c r="T27" s="466" t="s">
        <v>638</v>
      </c>
      <c r="U27" s="777" t="s">
        <v>965</v>
      </c>
      <c r="W27" s="500" t="s">
        <v>412</v>
      </c>
      <c r="X27" s="501" t="s">
        <v>412</v>
      </c>
      <c r="Y27" s="501" t="s">
        <v>412</v>
      </c>
      <c r="Z27" s="502" t="s">
        <v>412</v>
      </c>
      <c r="AA27" s="503" t="s">
        <v>412</v>
      </c>
      <c r="AB27" s="501" t="s">
        <v>412</v>
      </c>
      <c r="AC27" s="501" t="s">
        <v>585</v>
      </c>
      <c r="AD27" s="501" t="s">
        <v>412</v>
      </c>
      <c r="AE27" s="504" t="s">
        <v>618</v>
      </c>
      <c r="AF27" s="505" t="s">
        <v>585</v>
      </c>
      <c r="AG27" s="498" t="s">
        <v>640</v>
      </c>
      <c r="AH27" s="499" t="s">
        <v>587</v>
      </c>
    </row>
    <row r="28" spans="1:34">
      <c r="A28" s="1323"/>
      <c r="B28" s="65"/>
      <c r="C28" s="66"/>
      <c r="D28" s="67"/>
      <c r="E28" s="67"/>
      <c r="F28" s="67"/>
      <c r="G28" s="67"/>
      <c r="H28" s="66"/>
      <c r="I28" s="926">
        <f>SUM(I25:I27)</f>
        <v>136719</v>
      </c>
      <c r="J28" s="358"/>
      <c r="K28" s="111"/>
      <c r="L28" s="440">
        <f>SUM(L25:L27)</f>
        <v>26</v>
      </c>
      <c r="M28" s="443">
        <f>SUM(M25:M27)</f>
        <v>21</v>
      </c>
      <c r="N28" s="444">
        <f>IFERROR(AVERAGE(N25:N27),"")</f>
        <v>0.875</v>
      </c>
      <c r="O28" s="272">
        <f>IFERROR(AVERAGE(N18,N20:N23,N25:N27),"")</f>
        <v>0.6071428571428571</v>
      </c>
      <c r="P28" s="272">
        <f>IFERROR(AVERAGE(N7:N15,N18,N20:N23,N25:N27),"")</f>
        <v>0.5</v>
      </c>
      <c r="Q28" s="352">
        <f>SUM(Q25:Q27)</f>
        <v>0</v>
      </c>
      <c r="R28" s="70">
        <f>SUM(R25:R27)</f>
        <v>0</v>
      </c>
      <c r="T28" s="68"/>
      <c r="U28" s="467"/>
      <c r="W28" s="478"/>
      <c r="X28" s="67"/>
      <c r="Y28" s="67"/>
      <c r="Z28" s="67"/>
      <c r="AA28" s="67"/>
      <c r="AB28" s="67"/>
      <c r="AC28" s="67"/>
      <c r="AD28" s="67"/>
      <c r="AE28" s="67"/>
      <c r="AF28" s="67"/>
      <c r="AG28" s="67"/>
      <c r="AH28" s="467"/>
    </row>
    <row r="29" spans="1:34" ht="35.25" customHeight="1">
      <c r="A29" s="1397" t="s">
        <v>282</v>
      </c>
      <c r="B29" s="1398"/>
      <c r="C29" s="1398"/>
      <c r="D29" s="1398"/>
      <c r="E29" s="1398"/>
      <c r="F29" s="1398"/>
      <c r="G29" s="1398"/>
      <c r="H29" s="1399"/>
      <c r="I29" s="928">
        <f>I30+I35+I46</f>
        <v>67314</v>
      </c>
      <c r="J29" s="342"/>
      <c r="K29" s="343"/>
      <c r="L29" s="344"/>
      <c r="M29" s="345"/>
      <c r="N29" s="346"/>
      <c r="O29" s="346"/>
      <c r="P29" s="347"/>
      <c r="Q29" s="350">
        <f t="shared" ref="Q29:R29" si="7">Q30+Q35+Q46</f>
        <v>0</v>
      </c>
      <c r="R29" s="348">
        <f t="shared" si="7"/>
        <v>0</v>
      </c>
      <c r="T29" s="462" t="s">
        <v>282</v>
      </c>
      <c r="U29" s="463"/>
      <c r="W29" s="474" t="s">
        <v>282</v>
      </c>
      <c r="X29" s="475"/>
      <c r="Y29" s="475"/>
      <c r="Z29" s="475"/>
      <c r="AA29" s="475"/>
      <c r="AB29" s="475"/>
      <c r="AC29" s="475"/>
      <c r="AD29" s="475"/>
      <c r="AE29" s="475"/>
      <c r="AF29" s="475"/>
      <c r="AG29" s="475"/>
      <c r="AH29" s="476"/>
    </row>
    <row r="30" spans="1:34" ht="30.75" customHeight="1">
      <c r="A30" s="1387" t="s">
        <v>283</v>
      </c>
      <c r="B30" s="1388"/>
      <c r="C30" s="1388"/>
      <c r="D30" s="1392"/>
      <c r="E30" s="363" t="s">
        <v>248</v>
      </c>
      <c r="F30" s="364" t="s">
        <v>249</v>
      </c>
      <c r="G30" s="364" t="s">
        <v>250</v>
      </c>
      <c r="H30" s="365" t="s">
        <v>251</v>
      </c>
      <c r="I30" s="927">
        <f t="shared" ref="I30" si="8">I34</f>
        <v>3000</v>
      </c>
      <c r="J30" s="366"/>
      <c r="K30" s="367"/>
      <c r="L30" s="368"/>
      <c r="M30" s="369"/>
      <c r="N30" s="370"/>
      <c r="O30" s="371"/>
      <c r="P30" s="372"/>
      <c r="Q30" s="373">
        <f t="shared" ref="Q30:R30" si="9">Q34</f>
        <v>0</v>
      </c>
      <c r="R30" s="374">
        <f t="shared" si="9"/>
        <v>0</v>
      </c>
      <c r="T30" s="464" t="s">
        <v>283</v>
      </c>
      <c r="U30" s="465"/>
      <c r="W30" s="464" t="s">
        <v>283</v>
      </c>
      <c r="X30" s="458"/>
      <c r="Y30" s="458"/>
      <c r="Z30" s="458"/>
      <c r="AA30" s="458"/>
      <c r="AB30" s="458"/>
      <c r="AC30" s="458"/>
      <c r="AD30" s="458"/>
      <c r="AE30" s="458"/>
      <c r="AF30" s="458"/>
      <c r="AG30" s="458"/>
      <c r="AH30" s="465"/>
    </row>
    <row r="31" spans="1:34" ht="48">
      <c r="A31" s="1301" t="s">
        <v>284</v>
      </c>
      <c r="B31" s="167"/>
      <c r="C31" s="180" t="s">
        <v>285</v>
      </c>
      <c r="D31" s="190" t="s">
        <v>78</v>
      </c>
      <c r="E31" s="55"/>
      <c r="F31" s="61"/>
      <c r="G31" s="61"/>
      <c r="H31" s="60"/>
      <c r="I31" s="925" t="s">
        <v>962</v>
      </c>
      <c r="J31" s="182"/>
      <c r="K31" s="113"/>
      <c r="L31" s="175"/>
      <c r="M31" s="58"/>
      <c r="N31" s="108" t="str">
        <f t="shared" ref="N31:N33" si="10">IF(L31,MIN(1,M31/L31),"")</f>
        <v/>
      </c>
      <c r="O31" s="1336"/>
      <c r="P31" s="1304"/>
      <c r="Q31" s="165"/>
      <c r="R31" s="260"/>
      <c r="T31" s="466" t="s">
        <v>641</v>
      </c>
      <c r="U31" s="779" t="s">
        <v>966</v>
      </c>
      <c r="W31" s="500"/>
      <c r="X31" s="501"/>
      <c r="Y31" s="501"/>
      <c r="Z31" s="502"/>
      <c r="AA31" s="503"/>
      <c r="AB31" s="501"/>
      <c r="AC31" s="501"/>
      <c r="AD31" s="501"/>
      <c r="AE31" s="504"/>
      <c r="AF31" s="505"/>
      <c r="AG31" s="498"/>
      <c r="AH31" s="499"/>
    </row>
    <row r="32" spans="1:34" ht="48">
      <c r="A32" s="1302"/>
      <c r="B32" s="167"/>
      <c r="C32" s="181" t="s">
        <v>286</v>
      </c>
      <c r="D32" s="191" t="s">
        <v>642</v>
      </c>
      <c r="E32" s="56"/>
      <c r="F32" s="56"/>
      <c r="G32" s="56"/>
      <c r="H32" s="60"/>
      <c r="I32" s="925" t="s">
        <v>962</v>
      </c>
      <c r="J32" s="183"/>
      <c r="K32" s="110" t="s">
        <v>643</v>
      </c>
      <c r="L32" s="172">
        <v>0</v>
      </c>
      <c r="M32" s="58"/>
      <c r="N32" s="108" t="str">
        <f t="shared" si="10"/>
        <v/>
      </c>
      <c r="O32" s="1337"/>
      <c r="P32" s="1343"/>
      <c r="Q32" s="165"/>
      <c r="R32" s="257"/>
      <c r="T32" s="466" t="s">
        <v>644</v>
      </c>
      <c r="U32" s="777" t="s">
        <v>967</v>
      </c>
      <c r="W32" s="500"/>
      <c r="X32" s="501"/>
      <c r="Y32" s="501"/>
      <c r="Z32" s="502"/>
      <c r="AA32" s="503"/>
      <c r="AB32" s="501"/>
      <c r="AC32" s="501"/>
      <c r="AD32" s="501"/>
      <c r="AE32" s="504"/>
      <c r="AF32" s="505"/>
      <c r="AG32" s="498"/>
      <c r="AH32" s="499"/>
    </row>
    <row r="33" spans="1:34" ht="47.25" customHeight="1">
      <c r="A33" s="1302"/>
      <c r="B33" s="167">
        <v>17</v>
      </c>
      <c r="C33" s="181" t="s">
        <v>287</v>
      </c>
      <c r="D33" s="191" t="s">
        <v>78</v>
      </c>
      <c r="E33" s="56"/>
      <c r="F33" s="408"/>
      <c r="G33" s="408"/>
      <c r="H33" s="60"/>
      <c r="I33" s="925">
        <v>3000</v>
      </c>
      <c r="J33" s="183"/>
      <c r="K33" s="110" t="s">
        <v>643</v>
      </c>
      <c r="L33" s="172">
        <v>1</v>
      </c>
      <c r="M33" s="58">
        <v>0</v>
      </c>
      <c r="N33" s="108">
        <f t="shared" si="10"/>
        <v>0</v>
      </c>
      <c r="O33" s="1337"/>
      <c r="P33" s="1343"/>
      <c r="Q33" s="165"/>
      <c r="R33" s="257"/>
      <c r="T33" s="466" t="s">
        <v>650</v>
      </c>
      <c r="U33" s="777" t="s">
        <v>968</v>
      </c>
      <c r="W33" s="500" t="s">
        <v>585</v>
      </c>
      <c r="X33" s="501" t="s">
        <v>585</v>
      </c>
      <c r="Y33" s="501" t="s">
        <v>585</v>
      </c>
      <c r="Z33" s="502" t="s">
        <v>412</v>
      </c>
      <c r="AA33" s="503" t="s">
        <v>969</v>
      </c>
      <c r="AB33" s="501" t="s">
        <v>970</v>
      </c>
      <c r="AC33" s="501" t="s">
        <v>746</v>
      </c>
      <c r="AD33" s="501" t="s">
        <v>971</v>
      </c>
      <c r="AE33" s="504" t="s">
        <v>972</v>
      </c>
      <c r="AF33" s="505" t="s">
        <v>585</v>
      </c>
      <c r="AG33" s="498" t="s">
        <v>973</v>
      </c>
      <c r="AH33" s="499" t="s">
        <v>587</v>
      </c>
    </row>
    <row r="34" spans="1:34" ht="19.5" customHeight="1">
      <c r="A34" s="1303"/>
      <c r="B34" s="65"/>
      <c r="C34" s="81"/>
      <c r="D34" s="120"/>
      <c r="E34" s="67"/>
      <c r="F34" s="67"/>
      <c r="G34" s="67"/>
      <c r="H34" s="66"/>
      <c r="I34" s="926">
        <f t="shared" ref="I34" si="11">SUM(I31:I33)</f>
        <v>3000</v>
      </c>
      <c r="J34" s="358"/>
      <c r="K34" s="111"/>
      <c r="L34" s="440">
        <f>SUM(L31:L33)</f>
        <v>1</v>
      </c>
      <c r="M34" s="443">
        <f>SUM(M31:M33)</f>
        <v>0</v>
      </c>
      <c r="N34" s="444">
        <f>IFERROR(AVERAGE(N31:N33),"")</f>
        <v>0</v>
      </c>
      <c r="O34" s="380">
        <f>IFERROR(AVERAGE(N31:N33),"")</f>
        <v>0</v>
      </c>
      <c r="P34" s="1343"/>
      <c r="Q34" s="352">
        <f t="shared" ref="Q34:R34" si="12">SUM(Q31:Q33)</f>
        <v>0</v>
      </c>
      <c r="R34" s="70">
        <f t="shared" si="12"/>
        <v>0</v>
      </c>
      <c r="T34" s="68"/>
      <c r="U34" s="469"/>
      <c r="W34" s="478"/>
      <c r="X34" s="67"/>
      <c r="Y34" s="67"/>
      <c r="Z34" s="67"/>
      <c r="AA34" s="67"/>
      <c r="AB34" s="67"/>
      <c r="AC34" s="67"/>
      <c r="AD34" s="67"/>
      <c r="AE34" s="67"/>
      <c r="AF34" s="67"/>
      <c r="AG34" s="67"/>
      <c r="AH34" s="467"/>
    </row>
    <row r="35" spans="1:34" ht="26">
      <c r="A35" s="902" t="s">
        <v>288</v>
      </c>
      <c r="B35" s="903"/>
      <c r="C35" s="903"/>
      <c r="D35" s="362"/>
      <c r="E35" s="363" t="s">
        <v>248</v>
      </c>
      <c r="F35" s="364" t="s">
        <v>249</v>
      </c>
      <c r="G35" s="364" t="s">
        <v>250</v>
      </c>
      <c r="H35" s="365" t="s">
        <v>251</v>
      </c>
      <c r="I35" s="927">
        <f t="shared" ref="I35" si="13">I39+I42</f>
        <v>34376</v>
      </c>
      <c r="J35" s="366"/>
      <c r="K35" s="367"/>
      <c r="L35" s="368"/>
      <c r="M35" s="369"/>
      <c r="N35" s="370"/>
      <c r="O35" s="371"/>
      <c r="P35" s="1343"/>
      <c r="Q35" s="373">
        <f t="shared" ref="Q35:R35" si="14">Q39+Q42</f>
        <v>0</v>
      </c>
      <c r="R35" s="374">
        <f t="shared" si="14"/>
        <v>0</v>
      </c>
      <c r="T35" s="464" t="s">
        <v>288</v>
      </c>
      <c r="U35" s="465"/>
      <c r="W35" s="464" t="s">
        <v>288</v>
      </c>
      <c r="X35" s="458"/>
      <c r="Y35" s="458"/>
      <c r="Z35" s="458"/>
      <c r="AA35" s="458"/>
      <c r="AB35" s="458"/>
      <c r="AC35" s="458"/>
      <c r="AD35" s="458"/>
      <c r="AE35" s="458"/>
      <c r="AF35" s="458"/>
      <c r="AG35" s="458"/>
      <c r="AH35" s="465"/>
    </row>
    <row r="36" spans="1:34" ht="60">
      <c r="A36" s="1347" t="s">
        <v>289</v>
      </c>
      <c r="B36" s="167">
        <f>B33+1</f>
        <v>18</v>
      </c>
      <c r="C36" s="180" t="s">
        <v>290</v>
      </c>
      <c r="D36" s="422" t="s">
        <v>78</v>
      </c>
      <c r="E36" s="56"/>
      <c r="F36" s="408"/>
      <c r="G36" s="408"/>
      <c r="H36" s="408"/>
      <c r="I36" s="925">
        <v>6250</v>
      </c>
      <c r="J36" s="182"/>
      <c r="K36" s="171" t="s">
        <v>536</v>
      </c>
      <c r="L36" s="172">
        <v>1</v>
      </c>
      <c r="M36" s="58">
        <v>1</v>
      </c>
      <c r="N36" s="109">
        <f t="shared" ref="N36:N38" si="15">IF(L36,MIN(1,M36/L36),"")</f>
        <v>1</v>
      </c>
      <c r="O36" s="1339"/>
      <c r="P36" s="1343"/>
      <c r="Q36" s="165"/>
      <c r="R36" s="257"/>
      <c r="T36" s="466" t="s">
        <v>651</v>
      </c>
      <c r="U36" s="776" t="s">
        <v>974</v>
      </c>
      <c r="W36" s="500" t="s">
        <v>653</v>
      </c>
      <c r="X36" s="501" t="s">
        <v>654</v>
      </c>
      <c r="Y36" s="501" t="s">
        <v>655</v>
      </c>
      <c r="Z36" s="502" t="s">
        <v>412</v>
      </c>
      <c r="AA36" s="503" t="s">
        <v>975</v>
      </c>
      <c r="AB36" s="501" t="s">
        <v>617</v>
      </c>
      <c r="AC36" s="501" t="s">
        <v>585</v>
      </c>
      <c r="AD36" s="501" t="s">
        <v>976</v>
      </c>
      <c r="AE36" s="504" t="s">
        <v>658</v>
      </c>
      <c r="AF36" s="505" t="s">
        <v>585</v>
      </c>
      <c r="AG36" s="498" t="s">
        <v>659</v>
      </c>
      <c r="AH36" s="499" t="s">
        <v>587</v>
      </c>
    </row>
    <row r="37" spans="1:34" ht="31.5" customHeight="1">
      <c r="A37" s="1348"/>
      <c r="B37" s="167">
        <f>B36+1</f>
        <v>19</v>
      </c>
      <c r="C37" s="181" t="s">
        <v>291</v>
      </c>
      <c r="D37" s="431" t="s">
        <v>595</v>
      </c>
      <c r="E37" s="408"/>
      <c r="F37" s="408"/>
      <c r="G37" s="408"/>
      <c r="H37" s="304"/>
      <c r="I37" s="925">
        <v>14063</v>
      </c>
      <c r="J37" s="183"/>
      <c r="K37" s="171" t="s">
        <v>643</v>
      </c>
      <c r="L37" s="172">
        <v>6</v>
      </c>
      <c r="M37" s="58">
        <v>0</v>
      </c>
      <c r="N37" s="109">
        <f t="shared" si="15"/>
        <v>0</v>
      </c>
      <c r="O37" s="1305"/>
      <c r="P37" s="1343"/>
      <c r="Q37" s="165"/>
      <c r="R37" s="257"/>
      <c r="T37" s="466" t="s">
        <v>660</v>
      </c>
      <c r="U37" s="777" t="s">
        <v>977</v>
      </c>
      <c r="W37" s="500" t="s">
        <v>585</v>
      </c>
      <c r="X37" s="501" t="s">
        <v>585</v>
      </c>
      <c r="Y37" s="501" t="s">
        <v>585</v>
      </c>
      <c r="Z37" s="502" t="s">
        <v>412</v>
      </c>
      <c r="AA37" s="503" t="s">
        <v>662</v>
      </c>
      <c r="AB37" s="501" t="s">
        <v>585</v>
      </c>
      <c r="AC37" s="501" t="s">
        <v>585</v>
      </c>
      <c r="AD37" s="501" t="s">
        <v>647</v>
      </c>
      <c r="AE37" s="504" t="s">
        <v>648</v>
      </c>
      <c r="AF37" s="505" t="s">
        <v>585</v>
      </c>
      <c r="AG37" s="498" t="s">
        <v>649</v>
      </c>
      <c r="AH37" s="499" t="s">
        <v>587</v>
      </c>
    </row>
    <row r="38" spans="1:34" ht="31.5" customHeight="1">
      <c r="A38" s="1348"/>
      <c r="B38" s="167">
        <f>B37+1</f>
        <v>20</v>
      </c>
      <c r="C38" s="181" t="s">
        <v>292</v>
      </c>
      <c r="D38" s="431" t="s">
        <v>588</v>
      </c>
      <c r="E38" s="408"/>
      <c r="F38" s="408"/>
      <c r="G38" s="408"/>
      <c r="H38" s="408"/>
      <c r="I38" s="925">
        <v>9375</v>
      </c>
      <c r="J38" s="184"/>
      <c r="K38" s="171" t="s">
        <v>479</v>
      </c>
      <c r="L38" s="172">
        <v>80</v>
      </c>
      <c r="M38" s="58">
        <v>105</v>
      </c>
      <c r="N38" s="109">
        <f t="shared" si="15"/>
        <v>1</v>
      </c>
      <c r="O38" s="1305"/>
      <c r="P38" s="1343"/>
      <c r="Q38" s="165"/>
      <c r="R38" s="257"/>
      <c r="T38" s="466" t="s">
        <v>663</v>
      </c>
      <c r="U38" s="777" t="s">
        <v>978</v>
      </c>
      <c r="W38" s="500" t="s">
        <v>665</v>
      </c>
      <c r="X38" s="501" t="s">
        <v>666</v>
      </c>
      <c r="Y38" s="501" t="s">
        <v>667</v>
      </c>
      <c r="Z38" s="502" t="s">
        <v>412</v>
      </c>
      <c r="AA38" s="503" t="s">
        <v>668</v>
      </c>
      <c r="AB38" s="501" t="s">
        <v>585</v>
      </c>
      <c r="AC38" s="501" t="s">
        <v>585</v>
      </c>
      <c r="AD38" s="501" t="s">
        <v>412</v>
      </c>
      <c r="AE38" s="504" t="s">
        <v>669</v>
      </c>
      <c r="AF38" s="505" t="s">
        <v>585</v>
      </c>
      <c r="AG38" s="498" t="s">
        <v>670</v>
      </c>
      <c r="AH38" s="499" t="s">
        <v>587</v>
      </c>
    </row>
    <row r="39" spans="1:34" ht="24" customHeight="1">
      <c r="A39" s="1348"/>
      <c r="B39" s="65"/>
      <c r="C39" s="81"/>
      <c r="D39" s="120"/>
      <c r="E39" s="67"/>
      <c r="F39" s="67"/>
      <c r="G39" s="67"/>
      <c r="H39" s="66"/>
      <c r="I39" s="926">
        <f t="shared" ref="I39" si="16">SUM(I36:I38)</f>
        <v>29688</v>
      </c>
      <c r="J39" s="358"/>
      <c r="K39" s="111"/>
      <c r="L39" s="440">
        <f>SUM(L36:L38)</f>
        <v>87</v>
      </c>
      <c r="M39" s="443">
        <f>SUM(M36:M38)</f>
        <v>106</v>
      </c>
      <c r="N39" s="444">
        <f>IFERROR(AVERAGE(N36:N38),"")</f>
        <v>0.66666666666666663</v>
      </c>
      <c r="O39" s="1305"/>
      <c r="P39" s="1343"/>
      <c r="Q39" s="352">
        <f>SUM(Q36:Q38)</f>
        <v>0</v>
      </c>
      <c r="R39" s="70">
        <f>SUM(R36:R38)</f>
        <v>0</v>
      </c>
      <c r="T39" s="68"/>
      <c r="U39" s="469"/>
      <c r="W39" s="478"/>
      <c r="X39" s="67"/>
      <c r="Y39" s="67"/>
      <c r="Z39" s="67"/>
      <c r="AA39" s="67"/>
      <c r="AB39" s="67"/>
      <c r="AC39" s="67"/>
      <c r="AD39" s="67"/>
      <c r="AE39" s="67"/>
      <c r="AF39" s="67"/>
      <c r="AG39" s="67"/>
      <c r="AH39" s="467"/>
    </row>
    <row r="40" spans="1:34" ht="36">
      <c r="A40" s="1347" t="s">
        <v>293</v>
      </c>
      <c r="B40" s="167"/>
      <c r="C40" s="180" t="s">
        <v>496</v>
      </c>
      <c r="D40" s="431" t="s">
        <v>588</v>
      </c>
      <c r="E40" s="56"/>
      <c r="F40" s="56"/>
      <c r="G40" s="56"/>
      <c r="H40" s="304"/>
      <c r="I40" s="925" t="s">
        <v>967</v>
      </c>
      <c r="J40" s="182"/>
      <c r="K40" s="171" t="s">
        <v>979</v>
      </c>
      <c r="L40" s="172"/>
      <c r="M40" s="58"/>
      <c r="N40" s="109" t="str">
        <f t="shared" ref="N40:N41" si="17">IF(L40,MIN(1,M40/L40),"")</f>
        <v/>
      </c>
      <c r="O40" s="1305"/>
      <c r="P40" s="1343"/>
      <c r="Q40" s="165"/>
      <c r="R40" s="257"/>
      <c r="T40" s="775" t="s">
        <v>651</v>
      </c>
      <c r="U40" s="776" t="s">
        <v>980</v>
      </c>
      <c r="W40" s="500"/>
      <c r="X40" s="501"/>
      <c r="Y40" s="501"/>
      <c r="Z40" s="502"/>
      <c r="AA40" s="503"/>
      <c r="AB40" s="501"/>
      <c r="AC40" s="501"/>
      <c r="AD40" s="501"/>
      <c r="AE40" s="504"/>
      <c r="AF40" s="505"/>
      <c r="AG40" s="498"/>
      <c r="AH40" s="499"/>
    </row>
    <row r="41" spans="1:34" ht="36" customHeight="1">
      <c r="A41" s="1348"/>
      <c r="B41" s="167">
        <v>21</v>
      </c>
      <c r="C41" s="181" t="s">
        <v>498</v>
      </c>
      <c r="D41" s="431" t="s">
        <v>595</v>
      </c>
      <c r="E41" s="408"/>
      <c r="F41" s="408"/>
      <c r="G41" s="408"/>
      <c r="H41" s="408"/>
      <c r="I41" s="925">
        <v>4688</v>
      </c>
      <c r="J41" s="183"/>
      <c r="K41" s="171" t="s">
        <v>981</v>
      </c>
      <c r="L41" s="172">
        <v>20</v>
      </c>
      <c r="M41" s="58">
        <v>7</v>
      </c>
      <c r="N41" s="109">
        <f t="shared" si="17"/>
        <v>0.35</v>
      </c>
      <c r="O41" s="1305"/>
      <c r="P41" s="1343"/>
      <c r="Q41" s="165"/>
      <c r="R41" s="257"/>
      <c r="T41" s="775" t="s">
        <v>660</v>
      </c>
      <c r="U41" s="777" t="s">
        <v>982</v>
      </c>
      <c r="W41" s="500" t="s">
        <v>676</v>
      </c>
      <c r="X41" s="501" t="s">
        <v>677</v>
      </c>
      <c r="Y41" s="501" t="s">
        <v>678</v>
      </c>
      <c r="Z41" s="502" t="s">
        <v>412</v>
      </c>
      <c r="AA41" s="503" t="s">
        <v>679</v>
      </c>
      <c r="AB41" s="501" t="s">
        <v>585</v>
      </c>
      <c r="AC41" s="501" t="s">
        <v>680</v>
      </c>
      <c r="AD41" s="501" t="s">
        <v>412</v>
      </c>
      <c r="AE41" s="504" t="s">
        <v>983</v>
      </c>
      <c r="AF41" s="505" t="s">
        <v>585</v>
      </c>
      <c r="AG41" s="498" t="s">
        <v>682</v>
      </c>
      <c r="AH41" s="499" t="s">
        <v>587</v>
      </c>
    </row>
    <row r="42" spans="1:34">
      <c r="A42" s="1348"/>
      <c r="B42" s="65"/>
      <c r="C42" s="81"/>
      <c r="D42" s="120"/>
      <c r="E42" s="67"/>
      <c r="F42" s="67"/>
      <c r="G42" s="67"/>
      <c r="H42" s="66"/>
      <c r="I42" s="926">
        <f t="shared" ref="I42" si="18">SUM(I40:I41)</f>
        <v>4688</v>
      </c>
      <c r="J42" s="358"/>
      <c r="K42" s="111"/>
      <c r="L42" s="440">
        <f>SUM(L40:L41)</f>
        <v>20</v>
      </c>
      <c r="M42" s="443">
        <f>SUM(M40:M41)</f>
        <v>7</v>
      </c>
      <c r="N42" s="444">
        <f>IFERROR(AVERAGE(N40:N41),"")</f>
        <v>0.35</v>
      </c>
      <c r="O42" s="1305"/>
      <c r="P42" s="1343"/>
      <c r="Q42" s="352">
        <f>SUM(Q40:Q41)</f>
        <v>0</v>
      </c>
      <c r="R42" s="70">
        <f>SUM(R40:R41)</f>
        <v>0</v>
      </c>
      <c r="T42" s="68"/>
      <c r="U42" s="469"/>
      <c r="W42" s="478"/>
      <c r="X42" s="67"/>
      <c r="Y42" s="67"/>
      <c r="Z42" s="67"/>
      <c r="AA42" s="67"/>
      <c r="AB42" s="67"/>
      <c r="AC42" s="67"/>
      <c r="AD42" s="67"/>
      <c r="AE42" s="67"/>
      <c r="AF42" s="67"/>
      <c r="AG42" s="67"/>
      <c r="AH42" s="467"/>
    </row>
    <row r="43" spans="1:34" ht="45.65" customHeight="1">
      <c r="A43" s="1378" t="s">
        <v>683</v>
      </c>
      <c r="B43" s="167">
        <f>B41+1</f>
        <v>22</v>
      </c>
      <c r="C43" s="180" t="s">
        <v>684</v>
      </c>
      <c r="D43" s="422" t="s">
        <v>595</v>
      </c>
      <c r="E43" s="56"/>
      <c r="F43" s="408"/>
      <c r="G43" s="408"/>
      <c r="H43" s="408"/>
      <c r="I43" s="925">
        <v>7500</v>
      </c>
      <c r="J43" s="182"/>
      <c r="K43" s="171" t="s">
        <v>685</v>
      </c>
      <c r="L43" s="172">
        <v>1</v>
      </c>
      <c r="M43" s="58">
        <v>1</v>
      </c>
      <c r="N43" s="109">
        <f t="shared" ref="N43:N45" si="19">IF(L43,MIN(1,M43/L43),"")</f>
        <v>1</v>
      </c>
      <c r="O43" s="1305"/>
      <c r="P43" s="1343"/>
      <c r="Q43" s="165"/>
      <c r="R43" s="257"/>
      <c r="T43" s="466" t="s">
        <v>686</v>
      </c>
      <c r="U43" s="777" t="s">
        <v>984</v>
      </c>
      <c r="W43" s="500"/>
      <c r="X43" s="501"/>
      <c r="Y43" s="501"/>
      <c r="Z43" s="502"/>
      <c r="AA43" s="503"/>
      <c r="AB43" s="501"/>
      <c r="AC43" s="501"/>
      <c r="AD43" s="501"/>
      <c r="AE43" s="504"/>
      <c r="AF43" s="505"/>
      <c r="AG43" s="498"/>
      <c r="AH43" s="499"/>
    </row>
    <row r="44" spans="1:34" ht="36.75" customHeight="1">
      <c r="A44" s="1379"/>
      <c r="B44" s="167">
        <f>B43+1</f>
        <v>23</v>
      </c>
      <c r="C44" s="181" t="s">
        <v>688</v>
      </c>
      <c r="D44" s="431" t="s">
        <v>595</v>
      </c>
      <c r="E44" s="56"/>
      <c r="F44" s="408"/>
      <c r="G44" s="408"/>
      <c r="H44" s="408"/>
      <c r="I44" s="925">
        <v>12500</v>
      </c>
      <c r="J44" s="183"/>
      <c r="K44" s="171" t="s">
        <v>689</v>
      </c>
      <c r="L44" s="172">
        <v>1</v>
      </c>
      <c r="M44" s="58">
        <v>1</v>
      </c>
      <c r="N44" s="109">
        <f t="shared" si="19"/>
        <v>1</v>
      </c>
      <c r="O44" s="1305"/>
      <c r="P44" s="1343"/>
      <c r="Q44" s="165"/>
      <c r="R44" s="257"/>
      <c r="T44" s="466" t="s">
        <v>690</v>
      </c>
      <c r="U44" s="777" t="s">
        <v>985</v>
      </c>
      <c r="W44" s="500"/>
      <c r="X44" s="501"/>
      <c r="Y44" s="501"/>
      <c r="Z44" s="502"/>
      <c r="AA44" s="503"/>
      <c r="AB44" s="501"/>
      <c r="AC44" s="501"/>
      <c r="AD44" s="501"/>
      <c r="AE44" s="504"/>
      <c r="AF44" s="505"/>
      <c r="AG44" s="498"/>
      <c r="AH44" s="499"/>
    </row>
    <row r="45" spans="1:34" ht="31.5" customHeight="1">
      <c r="A45" s="1379"/>
      <c r="B45" s="167">
        <f>B44+1</f>
        <v>24</v>
      </c>
      <c r="C45" s="181" t="s">
        <v>692</v>
      </c>
      <c r="D45" s="431" t="s">
        <v>588</v>
      </c>
      <c r="E45" s="408"/>
      <c r="F45" s="408"/>
      <c r="G45" s="408"/>
      <c r="H45" s="408"/>
      <c r="I45" s="925">
        <v>9938</v>
      </c>
      <c r="J45" s="184"/>
      <c r="K45" s="171" t="s">
        <v>539</v>
      </c>
      <c r="L45" s="172">
        <v>12</v>
      </c>
      <c r="M45" s="58">
        <v>12</v>
      </c>
      <c r="N45" s="109">
        <f t="shared" si="19"/>
        <v>1</v>
      </c>
      <c r="O45" s="1346"/>
      <c r="P45" s="1344"/>
      <c r="Q45" s="165"/>
      <c r="R45" s="257"/>
      <c r="T45" s="466" t="s">
        <v>693</v>
      </c>
      <c r="U45" s="777" t="s">
        <v>694</v>
      </c>
      <c r="W45" s="500" t="s">
        <v>412</v>
      </c>
      <c r="X45" s="501" t="s">
        <v>412</v>
      </c>
      <c r="Y45" s="501" t="s">
        <v>412</v>
      </c>
      <c r="Z45" s="502" t="s">
        <v>412</v>
      </c>
      <c r="AA45" s="503" t="s">
        <v>412</v>
      </c>
      <c r="AB45" s="501" t="s">
        <v>412</v>
      </c>
      <c r="AC45" s="501" t="s">
        <v>412</v>
      </c>
      <c r="AD45" s="501" t="s">
        <v>412</v>
      </c>
      <c r="AE45" s="504" t="s">
        <v>412</v>
      </c>
      <c r="AF45" s="505" t="s">
        <v>585</v>
      </c>
      <c r="AG45" s="498" t="s">
        <v>682</v>
      </c>
      <c r="AH45" s="499" t="s">
        <v>587</v>
      </c>
    </row>
    <row r="46" spans="1:34">
      <c r="A46" s="1379"/>
      <c r="B46" s="65"/>
      <c r="C46" s="81"/>
      <c r="D46" s="120"/>
      <c r="E46" s="67"/>
      <c r="F46" s="67"/>
      <c r="G46" s="67"/>
      <c r="H46" s="66"/>
      <c r="I46" s="926">
        <f t="shared" ref="I46" si="20">SUM(I43:I45)</f>
        <v>29938</v>
      </c>
      <c r="J46" s="358"/>
      <c r="K46" s="111"/>
      <c r="L46" s="440">
        <f>SUM(L43:L45)</f>
        <v>14</v>
      </c>
      <c r="M46" s="443">
        <f>SUM(M43:M45)</f>
        <v>14</v>
      </c>
      <c r="N46" s="444">
        <f>IFERROR(AVERAGE(N43:N45),"")</f>
        <v>1</v>
      </c>
      <c r="O46" s="379">
        <f>IFERROR(AVERAGE(N36:N38,N40:N41,N43:N45),"")</f>
        <v>0.76428571428571423</v>
      </c>
      <c r="P46" s="379">
        <f>IFERROR(AVERAGE(N31:N33,N36:N38,N40:N41,N43:N45),"")</f>
        <v>0.66874999999999996</v>
      </c>
      <c r="Q46" s="352">
        <f>SUM(Q43:Q45)</f>
        <v>0</v>
      </c>
      <c r="R46" s="70">
        <f>SUM(R43:R45)</f>
        <v>0</v>
      </c>
      <c r="T46" s="68"/>
      <c r="U46" s="469"/>
      <c r="W46" s="478"/>
      <c r="X46" s="67"/>
      <c r="Y46" s="67"/>
      <c r="Z46" s="67"/>
      <c r="AA46" s="67"/>
      <c r="AB46" s="67"/>
      <c r="AC46" s="67"/>
      <c r="AD46" s="67"/>
      <c r="AE46" s="67"/>
      <c r="AF46" s="67"/>
      <c r="AG46" s="67"/>
      <c r="AH46" s="467"/>
    </row>
    <row r="47" spans="1:34" ht="45.75" customHeight="1">
      <c r="A47" s="1393" t="s">
        <v>296</v>
      </c>
      <c r="B47" s="1394"/>
      <c r="C47" s="1394"/>
      <c r="D47" s="788"/>
      <c r="E47" s="788"/>
      <c r="F47" s="788"/>
      <c r="G47" s="788"/>
      <c r="H47" s="789"/>
      <c r="I47" s="928">
        <f>I48+I72+I89</f>
        <v>1079775</v>
      </c>
      <c r="J47" s="915"/>
      <c r="K47" s="916"/>
      <c r="L47" s="917"/>
      <c r="M47" s="918"/>
      <c r="N47" s="919"/>
      <c r="O47" s="919"/>
      <c r="P47" s="920"/>
      <c r="Q47" s="350">
        <f t="shared" ref="Q47:R47" si="21">Q48+Q72+Q89</f>
        <v>0</v>
      </c>
      <c r="R47" s="348">
        <f t="shared" si="21"/>
        <v>0</v>
      </c>
      <c r="T47" s="470" t="s">
        <v>695</v>
      </c>
      <c r="U47" s="471"/>
      <c r="W47" s="474" t="s">
        <v>296</v>
      </c>
      <c r="X47" s="475"/>
      <c r="Y47" s="475"/>
      <c r="Z47" s="475"/>
      <c r="AA47" s="475"/>
      <c r="AB47" s="475"/>
      <c r="AC47" s="475"/>
      <c r="AD47" s="475"/>
      <c r="AE47" s="475"/>
      <c r="AF47" s="475"/>
      <c r="AG47" s="475"/>
      <c r="AH47" s="476"/>
    </row>
    <row r="48" spans="1:34" ht="26">
      <c r="A48" s="902" t="s">
        <v>297</v>
      </c>
      <c r="B48" s="903"/>
      <c r="C48" s="903"/>
      <c r="D48" s="921"/>
      <c r="E48" s="904" t="s">
        <v>248</v>
      </c>
      <c r="F48" s="905" t="s">
        <v>249</v>
      </c>
      <c r="G48" s="905" t="s">
        <v>250</v>
      </c>
      <c r="H48" s="906" t="s">
        <v>251</v>
      </c>
      <c r="I48" s="927">
        <f t="shared" ref="I48" si="22">I56+I63+I71</f>
        <v>585665</v>
      </c>
      <c r="J48" s="907"/>
      <c r="K48" s="908"/>
      <c r="L48" s="909"/>
      <c r="M48" s="910"/>
      <c r="N48" s="911"/>
      <c r="O48" s="371"/>
      <c r="P48" s="922"/>
      <c r="Q48" s="373">
        <f t="shared" ref="Q48:R48" si="23">Q56+Q63+Q71</f>
        <v>0</v>
      </c>
      <c r="R48" s="374">
        <f t="shared" si="23"/>
        <v>0</v>
      </c>
      <c r="T48" s="464" t="s">
        <v>297</v>
      </c>
      <c r="U48" s="465"/>
      <c r="W48" s="464" t="s">
        <v>297</v>
      </c>
      <c r="X48" s="458"/>
      <c r="Y48" s="458"/>
      <c r="Z48" s="458"/>
      <c r="AA48" s="458"/>
      <c r="AB48" s="458"/>
      <c r="AC48" s="458"/>
      <c r="AD48" s="458"/>
      <c r="AE48" s="458"/>
      <c r="AF48" s="458"/>
      <c r="AG48" s="458"/>
      <c r="AH48" s="465"/>
    </row>
    <row r="49" spans="1:34" ht="48" customHeight="1">
      <c r="A49" s="791" t="s">
        <v>298</v>
      </c>
      <c r="B49" s="167"/>
      <c r="C49" s="169" t="s">
        <v>299</v>
      </c>
      <c r="D49" s="176" t="s">
        <v>588</v>
      </c>
      <c r="E49" s="56"/>
      <c r="F49" s="56"/>
      <c r="G49" s="56"/>
      <c r="H49" s="304"/>
      <c r="I49" s="925" t="s">
        <v>962</v>
      </c>
      <c r="J49" s="182"/>
      <c r="K49" s="179" t="s">
        <v>696</v>
      </c>
      <c r="L49" s="172"/>
      <c r="M49" s="58"/>
      <c r="N49" s="109" t="str">
        <f t="shared" ref="N49:N55" si="24">IF(L49,MIN(1,M49/L49),"")</f>
        <v/>
      </c>
      <c r="O49" s="792"/>
      <c r="P49" s="790"/>
      <c r="Q49" s="165"/>
      <c r="R49" s="260"/>
      <c r="T49" s="466" t="s">
        <v>697</v>
      </c>
      <c r="U49" s="776" t="s">
        <v>967</v>
      </c>
      <c r="W49" s="500"/>
      <c r="X49" s="501"/>
      <c r="Y49" s="501"/>
      <c r="Z49" s="502"/>
      <c r="AA49" s="503"/>
      <c r="AB49" s="501"/>
      <c r="AC49" s="501"/>
      <c r="AD49" s="501"/>
      <c r="AE49" s="504"/>
      <c r="AF49" s="505"/>
      <c r="AG49" s="498"/>
      <c r="AH49" s="499"/>
    </row>
    <row r="50" spans="1:34" ht="26">
      <c r="A50" s="360" t="s">
        <v>259</v>
      </c>
      <c r="B50" s="361"/>
      <c r="C50" s="361"/>
      <c r="D50" s="362"/>
      <c r="E50" s="904" t="s">
        <v>248</v>
      </c>
      <c r="F50" s="905" t="s">
        <v>249</v>
      </c>
      <c r="G50" s="905" t="s">
        <v>250</v>
      </c>
      <c r="H50" s="906" t="s">
        <v>251</v>
      </c>
      <c r="I50" s="929">
        <f>I16</f>
        <v>60723</v>
      </c>
      <c r="J50" s="913"/>
      <c r="K50" s="908"/>
      <c r="L50" s="909"/>
      <c r="M50" s="910"/>
      <c r="N50" s="911"/>
      <c r="O50" s="912"/>
      <c r="P50" s="914"/>
      <c r="Q50" s="373">
        <f>Q16</f>
        <v>0</v>
      </c>
      <c r="R50" s="374">
        <f>R16</f>
        <v>0</v>
      </c>
      <c r="T50" s="464" t="s">
        <v>580</v>
      </c>
      <c r="U50" s="465"/>
      <c r="W50" s="464" t="s">
        <v>580</v>
      </c>
      <c r="X50" s="465"/>
      <c r="Y50" s="465"/>
      <c r="Z50" s="465"/>
      <c r="AA50" s="465"/>
      <c r="AB50" s="465"/>
      <c r="AC50" s="465"/>
      <c r="AD50" s="465"/>
      <c r="AE50" s="465"/>
      <c r="AF50" s="465"/>
      <c r="AG50" s="465"/>
      <c r="AH50" s="465"/>
    </row>
    <row r="51" spans="1:34" ht="36">
      <c r="A51" s="794"/>
      <c r="B51" s="167">
        <v>25</v>
      </c>
      <c r="C51" s="170" t="s">
        <v>300</v>
      </c>
      <c r="D51" s="177" t="s">
        <v>595</v>
      </c>
      <c r="E51" s="56"/>
      <c r="F51" s="408"/>
      <c r="G51" s="408"/>
      <c r="H51" s="408"/>
      <c r="I51" s="925">
        <v>11250</v>
      </c>
      <c r="J51" s="183"/>
      <c r="K51" s="171" t="s">
        <v>699</v>
      </c>
      <c r="L51" s="172">
        <v>2</v>
      </c>
      <c r="M51" s="58">
        <v>0</v>
      </c>
      <c r="N51" s="109">
        <f t="shared" si="24"/>
        <v>0</v>
      </c>
      <c r="O51" s="793"/>
      <c r="P51" s="798"/>
      <c r="Q51" s="165"/>
      <c r="R51" s="257"/>
      <c r="T51" s="466" t="s">
        <v>700</v>
      </c>
      <c r="U51" s="777" t="s">
        <v>986</v>
      </c>
      <c r="W51" s="500" t="s">
        <v>412</v>
      </c>
      <c r="X51" s="501" t="s">
        <v>412</v>
      </c>
      <c r="Y51" s="501" t="s">
        <v>412</v>
      </c>
      <c r="Z51" s="502" t="s">
        <v>412</v>
      </c>
      <c r="AA51" s="503" t="s">
        <v>412</v>
      </c>
      <c r="AB51" s="501" t="s">
        <v>412</v>
      </c>
      <c r="AC51" s="501" t="s">
        <v>412</v>
      </c>
      <c r="AD51" s="501" t="s">
        <v>412</v>
      </c>
      <c r="AE51" s="504" t="s">
        <v>412</v>
      </c>
      <c r="AF51" s="505" t="s">
        <v>585</v>
      </c>
      <c r="AG51" s="498" t="s">
        <v>987</v>
      </c>
      <c r="AH51" s="499" t="s">
        <v>587</v>
      </c>
    </row>
    <row r="52" spans="1:34" ht="34.5" customHeight="1">
      <c r="A52" s="794"/>
      <c r="B52" s="167"/>
      <c r="C52" s="170" t="s">
        <v>301</v>
      </c>
      <c r="D52" s="177" t="s">
        <v>588</v>
      </c>
      <c r="E52" s="56"/>
      <c r="F52" s="56"/>
      <c r="G52" s="56"/>
      <c r="H52" s="304"/>
      <c r="I52" s="925"/>
      <c r="J52" s="183"/>
      <c r="K52" s="171" t="s">
        <v>505</v>
      </c>
      <c r="L52" s="172"/>
      <c r="M52" s="58"/>
      <c r="N52" s="109" t="str">
        <f t="shared" si="24"/>
        <v/>
      </c>
      <c r="O52" s="793"/>
      <c r="P52" s="798"/>
      <c r="Q52" s="165"/>
      <c r="R52" s="257"/>
      <c r="T52" s="466" t="s">
        <v>703</v>
      </c>
      <c r="U52" s="777" t="s">
        <v>988</v>
      </c>
      <c r="W52" s="500"/>
      <c r="X52" s="501"/>
      <c r="Y52" s="501"/>
      <c r="Z52" s="502"/>
      <c r="AA52" s="503"/>
      <c r="AB52" s="501"/>
      <c r="AC52" s="501"/>
      <c r="AD52" s="501"/>
      <c r="AE52" s="504"/>
      <c r="AF52" s="505"/>
      <c r="AG52" s="498"/>
      <c r="AH52" s="499"/>
    </row>
    <row r="53" spans="1:34" ht="31.5" customHeight="1">
      <c r="A53" s="794"/>
      <c r="B53" s="167"/>
      <c r="C53" s="170" t="s">
        <v>302</v>
      </c>
      <c r="D53" s="177" t="s">
        <v>588</v>
      </c>
      <c r="E53" s="56"/>
      <c r="F53" s="56"/>
      <c r="G53" s="56"/>
      <c r="H53" s="304"/>
      <c r="I53" s="925" t="s">
        <v>962</v>
      </c>
      <c r="J53" s="183"/>
      <c r="K53" s="171"/>
      <c r="L53" s="172"/>
      <c r="M53" s="58"/>
      <c r="N53" s="109" t="str">
        <f t="shared" si="24"/>
        <v/>
      </c>
      <c r="O53" s="793"/>
      <c r="P53" s="798"/>
      <c r="Q53" s="165"/>
      <c r="R53" s="257"/>
      <c r="T53" s="466" t="s">
        <v>705</v>
      </c>
      <c r="U53" s="777" t="s">
        <v>989</v>
      </c>
      <c r="W53" s="500"/>
      <c r="X53" s="501"/>
      <c r="Y53" s="501"/>
      <c r="Z53" s="502"/>
      <c r="AA53" s="503"/>
      <c r="AB53" s="501"/>
      <c r="AC53" s="501"/>
      <c r="AD53" s="501"/>
      <c r="AE53" s="504"/>
      <c r="AF53" s="505"/>
      <c r="AG53" s="498"/>
      <c r="AH53" s="499"/>
    </row>
    <row r="54" spans="1:34" ht="48">
      <c r="A54" s="794"/>
      <c r="B54" s="167">
        <v>26</v>
      </c>
      <c r="C54" s="170" t="s">
        <v>303</v>
      </c>
      <c r="D54" s="177" t="s">
        <v>588</v>
      </c>
      <c r="E54" s="56"/>
      <c r="F54" s="408"/>
      <c r="G54" s="408"/>
      <c r="H54" s="408"/>
      <c r="I54" s="925">
        <v>31250</v>
      </c>
      <c r="J54" s="183"/>
      <c r="K54" s="171" t="s">
        <v>706</v>
      </c>
      <c r="L54" s="172">
        <v>4</v>
      </c>
      <c r="M54" s="58">
        <v>4</v>
      </c>
      <c r="N54" s="109">
        <f t="shared" si="24"/>
        <v>1</v>
      </c>
      <c r="O54" s="793"/>
      <c r="P54" s="798"/>
      <c r="Q54" s="165"/>
      <c r="R54" s="257"/>
      <c r="T54" s="466" t="s">
        <v>707</v>
      </c>
      <c r="U54" s="777" t="s">
        <v>708</v>
      </c>
      <c r="W54" s="500" t="s">
        <v>585</v>
      </c>
      <c r="X54" s="501" t="s">
        <v>412</v>
      </c>
      <c r="Y54" s="501" t="s">
        <v>585</v>
      </c>
      <c r="Z54" s="502" t="s">
        <v>412</v>
      </c>
      <c r="AA54" s="503" t="s">
        <v>709</v>
      </c>
      <c r="AB54" s="501" t="s">
        <v>585</v>
      </c>
      <c r="AC54" s="501" t="s">
        <v>710</v>
      </c>
      <c r="AD54" s="501" t="s">
        <v>585</v>
      </c>
      <c r="AE54" s="504" t="s">
        <v>711</v>
      </c>
      <c r="AF54" s="505" t="s">
        <v>585</v>
      </c>
      <c r="AG54" s="498" t="s">
        <v>712</v>
      </c>
      <c r="AH54" s="499" t="s">
        <v>587</v>
      </c>
    </row>
    <row r="55" spans="1:34" ht="48">
      <c r="A55" s="794"/>
      <c r="B55" s="167">
        <f t="shared" ref="B55" si="25">B54+1</f>
        <v>27</v>
      </c>
      <c r="C55" s="170" t="s">
        <v>990</v>
      </c>
      <c r="D55" s="178" t="s">
        <v>588</v>
      </c>
      <c r="E55" s="56"/>
      <c r="F55" s="408"/>
      <c r="G55" s="408"/>
      <c r="H55" s="408"/>
      <c r="I55" s="925">
        <v>70313</v>
      </c>
      <c r="J55" s="184"/>
      <c r="K55" s="110" t="s">
        <v>713</v>
      </c>
      <c r="L55" s="172">
        <v>6</v>
      </c>
      <c r="M55" s="58">
        <v>9</v>
      </c>
      <c r="N55" s="109">
        <f t="shared" si="24"/>
        <v>1</v>
      </c>
      <c r="O55" s="793"/>
      <c r="P55" s="798"/>
      <c r="Q55" s="165"/>
      <c r="R55" s="257"/>
      <c r="T55" s="466" t="s">
        <v>714</v>
      </c>
      <c r="U55" s="777" t="s">
        <v>991</v>
      </c>
      <c r="W55" s="500" t="s">
        <v>716</v>
      </c>
      <c r="X55" s="501" t="s">
        <v>412</v>
      </c>
      <c r="Y55" s="501" t="s">
        <v>585</v>
      </c>
      <c r="Z55" s="502" t="s">
        <v>585</v>
      </c>
      <c r="AA55" s="503" t="s">
        <v>717</v>
      </c>
      <c r="AB55" s="501" t="s">
        <v>585</v>
      </c>
      <c r="AC55" s="501" t="s">
        <v>585</v>
      </c>
      <c r="AD55" s="501" t="s">
        <v>412</v>
      </c>
      <c r="AE55" s="504" t="s">
        <v>711</v>
      </c>
      <c r="AF55" s="505" t="s">
        <v>585</v>
      </c>
      <c r="AG55" s="498" t="s">
        <v>718</v>
      </c>
      <c r="AH55" s="499" t="s">
        <v>587</v>
      </c>
    </row>
    <row r="56" spans="1:34">
      <c r="A56" s="795"/>
      <c r="B56" s="65"/>
      <c r="C56" s="81"/>
      <c r="D56" s="120"/>
      <c r="E56" s="67"/>
      <c r="F56" s="67"/>
      <c r="G56" s="67"/>
      <c r="H56" s="66"/>
      <c r="I56" s="926">
        <f>SUM(I51:I55)</f>
        <v>112813</v>
      </c>
      <c r="J56" s="358"/>
      <c r="K56" s="442"/>
      <c r="L56" s="440">
        <f>SUM(L49:L55)</f>
        <v>12</v>
      </c>
      <c r="M56" s="443">
        <f>SUM(M49:M55)</f>
        <v>13</v>
      </c>
      <c r="N56" s="444">
        <f>IFERROR(AVERAGE(N49:N55),"")</f>
        <v>0.66666666666666663</v>
      </c>
      <c r="O56" s="793"/>
      <c r="P56" s="798"/>
      <c r="Q56" s="352">
        <f>SUM(Q49:Q55)</f>
        <v>0</v>
      </c>
      <c r="R56" s="70">
        <f>SUM(R49:R55)</f>
        <v>0</v>
      </c>
      <c r="T56" s="68"/>
      <c r="U56" s="469"/>
      <c r="W56" s="478"/>
      <c r="X56" s="67"/>
      <c r="Y56" s="67"/>
      <c r="Z56" s="67"/>
      <c r="AA56" s="67"/>
      <c r="AB56" s="67"/>
      <c r="AC56" s="67"/>
      <c r="AD56" s="67"/>
      <c r="AE56" s="67"/>
      <c r="AF56" s="67"/>
      <c r="AG56" s="67"/>
      <c r="AH56" s="467"/>
    </row>
    <row r="57" spans="1:34" ht="36">
      <c r="A57" s="1356" t="s">
        <v>305</v>
      </c>
      <c r="B57" s="167">
        <f>B55+1</f>
        <v>28</v>
      </c>
      <c r="C57" s="170" t="s">
        <v>306</v>
      </c>
      <c r="D57" s="176" t="s">
        <v>595</v>
      </c>
      <c r="E57" s="408"/>
      <c r="F57" s="408"/>
      <c r="G57" s="408"/>
      <c r="H57" s="304"/>
      <c r="I57" s="925">
        <v>12500</v>
      </c>
      <c r="J57" s="182"/>
      <c r="K57" s="171" t="s">
        <v>719</v>
      </c>
      <c r="L57" s="172">
        <v>8</v>
      </c>
      <c r="M57" s="58">
        <v>12</v>
      </c>
      <c r="N57" s="109">
        <f>IF(L57,MIN(1,M57/L57),"")</f>
        <v>1</v>
      </c>
      <c r="O57" s="793"/>
      <c r="P57" s="798"/>
      <c r="Q57" s="165"/>
      <c r="R57" s="257"/>
      <c r="T57" s="466" t="s">
        <v>720</v>
      </c>
      <c r="U57" s="776" t="s">
        <v>721</v>
      </c>
      <c r="W57" s="500" t="s">
        <v>412</v>
      </c>
      <c r="X57" s="501" t="s">
        <v>412</v>
      </c>
      <c r="Y57" s="501" t="s">
        <v>412</v>
      </c>
      <c r="Z57" s="502" t="s">
        <v>412</v>
      </c>
      <c r="AA57" s="503" t="s">
        <v>412</v>
      </c>
      <c r="AB57" s="501" t="s">
        <v>412</v>
      </c>
      <c r="AC57" s="501" t="s">
        <v>412</v>
      </c>
      <c r="AD57" s="501" t="s">
        <v>412</v>
      </c>
      <c r="AE57" s="504" t="s">
        <v>711</v>
      </c>
      <c r="AF57" s="505" t="s">
        <v>585</v>
      </c>
      <c r="AG57" s="498" t="s">
        <v>649</v>
      </c>
      <c r="AH57" s="499" t="s">
        <v>587</v>
      </c>
    </row>
    <row r="58" spans="1:34" ht="36">
      <c r="A58" s="1384"/>
      <c r="B58" s="167"/>
      <c r="C58" s="170" t="s">
        <v>307</v>
      </c>
      <c r="D58" s="177" t="s">
        <v>78</v>
      </c>
      <c r="E58" s="56"/>
      <c r="F58" s="56"/>
      <c r="G58" s="56"/>
      <c r="H58" s="304"/>
      <c r="I58" s="925" t="s">
        <v>962</v>
      </c>
      <c r="J58" s="183"/>
      <c r="K58" s="110" t="s">
        <v>722</v>
      </c>
      <c r="L58" s="172">
        <v>0</v>
      </c>
      <c r="M58" s="58"/>
      <c r="N58" s="109" t="str">
        <f t="shared" ref="N58:N59" si="26">IF(L58,MIN(1,M58/L58),"")</f>
        <v/>
      </c>
      <c r="O58" s="793"/>
      <c r="P58" s="798"/>
      <c r="Q58" s="165"/>
      <c r="R58" s="257"/>
      <c r="T58" s="466" t="s">
        <v>723</v>
      </c>
      <c r="U58" s="777" t="s">
        <v>967</v>
      </c>
      <c r="W58" s="500"/>
      <c r="X58" s="501"/>
      <c r="Y58" s="501"/>
      <c r="Z58" s="502"/>
      <c r="AA58" s="503"/>
      <c r="AB58" s="501"/>
      <c r="AC58" s="501"/>
      <c r="AD58" s="501"/>
      <c r="AE58" s="504"/>
      <c r="AF58" s="505"/>
      <c r="AG58" s="498"/>
      <c r="AH58" s="499"/>
    </row>
    <row r="59" spans="1:34" ht="31.5" customHeight="1">
      <c r="A59" s="1384"/>
      <c r="B59" s="167">
        <v>29</v>
      </c>
      <c r="C59" s="170" t="s">
        <v>308</v>
      </c>
      <c r="D59" s="177" t="s">
        <v>595</v>
      </c>
      <c r="E59" s="408"/>
      <c r="F59" s="408"/>
      <c r="G59" s="408"/>
      <c r="H59" s="408"/>
      <c r="I59" s="925">
        <v>3281</v>
      </c>
      <c r="J59" s="183"/>
      <c r="K59" s="110" t="s">
        <v>726</v>
      </c>
      <c r="L59" s="172">
        <v>7</v>
      </c>
      <c r="M59" s="58">
        <v>4</v>
      </c>
      <c r="N59" s="109">
        <f t="shared" si="26"/>
        <v>0.5714285714285714</v>
      </c>
      <c r="O59" s="793"/>
      <c r="P59" s="798"/>
      <c r="Q59" s="165"/>
      <c r="R59" s="257"/>
      <c r="T59" s="466" t="s">
        <v>727</v>
      </c>
      <c r="U59" s="777" t="s">
        <v>728</v>
      </c>
      <c r="W59" s="500" t="s">
        <v>412</v>
      </c>
      <c r="X59" s="501" t="s">
        <v>412</v>
      </c>
      <c r="Y59" s="501" t="s">
        <v>412</v>
      </c>
      <c r="Z59" s="502" t="s">
        <v>412</v>
      </c>
      <c r="AA59" s="503" t="s">
        <v>412</v>
      </c>
      <c r="AB59" s="501" t="s">
        <v>412</v>
      </c>
      <c r="AC59" s="501" t="s">
        <v>412</v>
      </c>
      <c r="AD59" s="501" t="s">
        <v>412</v>
      </c>
      <c r="AE59" s="504" t="s">
        <v>412</v>
      </c>
      <c r="AF59" s="505" t="s">
        <v>585</v>
      </c>
      <c r="AG59" s="498" t="s">
        <v>649</v>
      </c>
      <c r="AH59" s="499" t="s">
        <v>587</v>
      </c>
    </row>
    <row r="60" spans="1:34" ht="31.5" customHeight="1">
      <c r="A60" s="1384"/>
      <c r="B60" s="167">
        <f t="shared" ref="B60" si="27">B59+1</f>
        <v>30</v>
      </c>
      <c r="C60" s="170" t="s">
        <v>309</v>
      </c>
      <c r="D60" s="177" t="s">
        <v>595</v>
      </c>
      <c r="E60" s="408"/>
      <c r="F60" s="408"/>
      <c r="G60" s="408"/>
      <c r="H60" s="408"/>
      <c r="I60" s="925">
        <v>10156</v>
      </c>
      <c r="J60" s="183"/>
      <c r="K60" s="171" t="s">
        <v>729</v>
      </c>
      <c r="L60" s="172">
        <v>65</v>
      </c>
      <c r="M60" s="58">
        <v>40</v>
      </c>
      <c r="N60" s="109">
        <f>IF(L60,MIN(1,M60/L60),"")</f>
        <v>0.61538461538461542</v>
      </c>
      <c r="O60" s="793"/>
      <c r="P60" s="798"/>
      <c r="Q60" s="165"/>
      <c r="R60" s="257"/>
      <c r="T60" s="466" t="s">
        <v>730</v>
      </c>
      <c r="U60" s="777" t="s">
        <v>731</v>
      </c>
      <c r="W60" s="500" t="s">
        <v>412</v>
      </c>
      <c r="X60" s="501" t="s">
        <v>412</v>
      </c>
      <c r="Y60" s="501" t="s">
        <v>412</v>
      </c>
      <c r="Z60" s="502" t="s">
        <v>412</v>
      </c>
      <c r="AA60" s="503" t="s">
        <v>412</v>
      </c>
      <c r="AB60" s="501" t="s">
        <v>412</v>
      </c>
      <c r="AC60" s="501" t="s">
        <v>412</v>
      </c>
      <c r="AD60" s="501" t="s">
        <v>412</v>
      </c>
      <c r="AE60" s="504" t="s">
        <v>412</v>
      </c>
      <c r="AF60" s="505" t="s">
        <v>585</v>
      </c>
      <c r="AG60" s="498" t="s">
        <v>649</v>
      </c>
      <c r="AH60" s="499" t="s">
        <v>587</v>
      </c>
    </row>
    <row r="61" spans="1:34" ht="31.5" customHeight="1">
      <c r="A61" s="1384"/>
      <c r="B61" s="167"/>
      <c r="C61" s="170" t="s">
        <v>310</v>
      </c>
      <c r="D61" s="177" t="s">
        <v>588</v>
      </c>
      <c r="E61" s="56"/>
      <c r="F61" s="56"/>
      <c r="G61" s="56"/>
      <c r="H61" s="304"/>
      <c r="I61" s="925" t="s">
        <v>962</v>
      </c>
      <c r="J61" s="183"/>
      <c r="K61" s="110" t="s">
        <v>732</v>
      </c>
      <c r="L61" s="172"/>
      <c r="M61" s="58"/>
      <c r="N61" s="109" t="str">
        <f t="shared" ref="N61:N62" si="28">IF(L61,MIN(1,M61/L61),"")</f>
        <v/>
      </c>
      <c r="O61" s="793"/>
      <c r="P61" s="798"/>
      <c r="Q61" s="165"/>
      <c r="R61" s="257"/>
      <c r="T61" s="466" t="s">
        <v>733</v>
      </c>
      <c r="U61" s="777" t="s">
        <v>992</v>
      </c>
      <c r="W61" s="500"/>
      <c r="X61" s="501"/>
      <c r="Y61" s="501"/>
      <c r="Z61" s="502"/>
      <c r="AA61" s="503"/>
      <c r="AB61" s="501"/>
      <c r="AC61" s="501"/>
      <c r="AD61" s="501"/>
      <c r="AE61" s="504"/>
      <c r="AF61" s="505"/>
      <c r="AG61" s="498"/>
      <c r="AH61" s="499"/>
    </row>
    <row r="62" spans="1:34" ht="24" customHeight="1">
      <c r="A62" s="1384"/>
      <c r="B62" s="167">
        <v>31</v>
      </c>
      <c r="C62" s="170" t="s">
        <v>311</v>
      </c>
      <c r="D62" s="178" t="s">
        <v>595</v>
      </c>
      <c r="E62" s="56"/>
      <c r="F62" s="408"/>
      <c r="G62" s="408"/>
      <c r="H62" s="304"/>
      <c r="I62" s="925">
        <v>625</v>
      </c>
      <c r="J62" s="184"/>
      <c r="K62" s="110" t="s">
        <v>737</v>
      </c>
      <c r="L62" s="172">
        <v>2</v>
      </c>
      <c r="M62" s="58">
        <v>23</v>
      </c>
      <c r="N62" s="109">
        <f t="shared" si="28"/>
        <v>1</v>
      </c>
      <c r="O62" s="793"/>
      <c r="P62" s="798"/>
      <c r="Q62" s="165"/>
      <c r="R62" s="257"/>
      <c r="T62" s="466" t="s">
        <v>738</v>
      </c>
      <c r="U62" s="777" t="s">
        <v>993</v>
      </c>
      <c r="W62" s="500" t="s">
        <v>412</v>
      </c>
      <c r="X62" s="501" t="s">
        <v>412</v>
      </c>
      <c r="Y62" s="501" t="s">
        <v>585</v>
      </c>
      <c r="Z62" s="502" t="s">
        <v>585</v>
      </c>
      <c r="AA62" s="503" t="s">
        <v>735</v>
      </c>
      <c r="AB62" s="501" t="s">
        <v>412</v>
      </c>
      <c r="AC62" s="501" t="s">
        <v>412</v>
      </c>
      <c r="AD62" s="501" t="s">
        <v>412</v>
      </c>
      <c r="AE62" s="504" t="s">
        <v>412</v>
      </c>
      <c r="AF62" s="505" t="s">
        <v>585</v>
      </c>
      <c r="AG62" s="498" t="s">
        <v>740</v>
      </c>
      <c r="AH62" s="499" t="s">
        <v>587</v>
      </c>
    </row>
    <row r="63" spans="1:34">
      <c r="A63" s="1385"/>
      <c r="B63" s="65"/>
      <c r="C63" s="81"/>
      <c r="D63" s="120"/>
      <c r="E63" s="67"/>
      <c r="F63" s="67"/>
      <c r="G63" s="67"/>
      <c r="H63" s="66"/>
      <c r="I63" s="926">
        <f t="shared" ref="I63" si="29">SUM(I57:I62)</f>
        <v>26562</v>
      </c>
      <c r="J63" s="358"/>
      <c r="K63" s="111"/>
      <c r="L63" s="440">
        <f>SUM(L57:L62)</f>
        <v>82</v>
      </c>
      <c r="M63" s="443">
        <f>SUM(M57:M62)</f>
        <v>79</v>
      </c>
      <c r="N63" s="444">
        <f>IFERROR(AVERAGE(N57:N62),"")</f>
        <v>0.79670329670329676</v>
      </c>
      <c r="O63" s="793"/>
      <c r="P63" s="798"/>
      <c r="Q63" s="352">
        <f>SUM(Q57:Q62)</f>
        <v>0</v>
      </c>
      <c r="R63" s="70">
        <f>SUM(R57:R62)</f>
        <v>0</v>
      </c>
      <c r="T63" s="68"/>
      <c r="U63" s="469"/>
      <c r="W63" s="478"/>
      <c r="X63" s="67"/>
      <c r="Y63" s="67"/>
      <c r="Z63" s="67"/>
      <c r="AA63" s="67"/>
      <c r="AB63" s="67"/>
      <c r="AC63" s="67"/>
      <c r="AD63" s="67"/>
      <c r="AE63" s="67"/>
      <c r="AF63" s="67"/>
      <c r="AG63" s="67"/>
      <c r="AH63" s="467"/>
    </row>
    <row r="64" spans="1:34" ht="38.25" customHeight="1">
      <c r="A64" s="1301" t="s">
        <v>312</v>
      </c>
      <c r="B64" s="167"/>
      <c r="C64" s="170" t="s">
        <v>313</v>
      </c>
      <c r="D64" s="176" t="s">
        <v>595</v>
      </c>
      <c r="E64" s="56"/>
      <c r="F64" s="56"/>
      <c r="G64" s="56"/>
      <c r="H64" s="304"/>
      <c r="I64" s="925" t="s">
        <v>962</v>
      </c>
      <c r="J64" s="182"/>
      <c r="K64" s="171" t="s">
        <v>505</v>
      </c>
      <c r="L64" s="172"/>
      <c r="M64" s="58"/>
      <c r="N64" s="109" t="str">
        <f>IF(L64,MIN(1,M64/L64),"")</f>
        <v/>
      </c>
      <c r="O64" s="793"/>
      <c r="P64" s="798"/>
      <c r="Q64" s="165"/>
      <c r="R64" s="257"/>
      <c r="T64" s="466" t="s">
        <v>741</v>
      </c>
      <c r="U64" s="776" t="s">
        <v>994</v>
      </c>
      <c r="W64" s="500"/>
      <c r="X64" s="501"/>
      <c r="Y64" s="501"/>
      <c r="Z64" s="502"/>
      <c r="AA64" s="503"/>
      <c r="AB64" s="501"/>
      <c r="AC64" s="501"/>
      <c r="AD64" s="501"/>
      <c r="AE64" s="504"/>
      <c r="AF64" s="505"/>
      <c r="AG64" s="498"/>
      <c r="AH64" s="499"/>
    </row>
    <row r="65" spans="1:34" ht="58.5" customHeight="1">
      <c r="A65" s="1384"/>
      <c r="B65" s="167">
        <v>32</v>
      </c>
      <c r="C65" s="170" t="s">
        <v>995</v>
      </c>
      <c r="D65" s="177" t="s">
        <v>595</v>
      </c>
      <c r="E65" s="408"/>
      <c r="F65" s="408"/>
      <c r="G65" s="408"/>
      <c r="H65" s="408"/>
      <c r="I65" s="925">
        <v>173633</v>
      </c>
      <c r="J65" s="183"/>
      <c r="K65" s="110" t="s">
        <v>747</v>
      </c>
      <c r="L65" s="172">
        <v>650</v>
      </c>
      <c r="M65" s="58">
        <v>1943</v>
      </c>
      <c r="N65" s="109">
        <f t="shared" ref="N65:N70" si="30">IF(L65,MIN(1,M65/L65),"")</f>
        <v>1</v>
      </c>
      <c r="O65" s="793"/>
      <c r="P65" s="798"/>
      <c r="Q65" s="165"/>
      <c r="R65" s="257"/>
      <c r="T65" s="466" t="s">
        <v>748</v>
      </c>
      <c r="U65" s="777" t="s">
        <v>996</v>
      </c>
      <c r="W65" s="500" t="s">
        <v>585</v>
      </c>
      <c r="X65" s="501" t="s">
        <v>412</v>
      </c>
      <c r="Y65" s="501" t="s">
        <v>585</v>
      </c>
      <c r="Z65" s="502" t="s">
        <v>585</v>
      </c>
      <c r="AA65" s="503" t="s">
        <v>750</v>
      </c>
      <c r="AB65" s="501" t="s">
        <v>585</v>
      </c>
      <c r="AC65" s="501" t="s">
        <v>585</v>
      </c>
      <c r="AD65" s="501" t="s">
        <v>585</v>
      </c>
      <c r="AE65" s="504" t="s">
        <v>751</v>
      </c>
      <c r="AF65" s="505" t="s">
        <v>585</v>
      </c>
      <c r="AG65" s="498" t="s">
        <v>752</v>
      </c>
      <c r="AH65" s="499" t="s">
        <v>587</v>
      </c>
    </row>
    <row r="66" spans="1:34" ht="36">
      <c r="A66" s="1384"/>
      <c r="B66" s="167">
        <f t="shared" ref="B66:B68" si="31">B65+1</f>
        <v>33</v>
      </c>
      <c r="C66" s="170" t="s">
        <v>315</v>
      </c>
      <c r="D66" s="177" t="s">
        <v>595</v>
      </c>
      <c r="E66" s="408"/>
      <c r="F66" s="408"/>
      <c r="G66" s="408"/>
      <c r="H66" s="408"/>
      <c r="I66" s="925">
        <v>221875</v>
      </c>
      <c r="J66" s="183"/>
      <c r="K66" s="110" t="s">
        <v>505</v>
      </c>
      <c r="L66" s="172">
        <v>11</v>
      </c>
      <c r="M66" s="58">
        <v>11</v>
      </c>
      <c r="N66" s="109">
        <f t="shared" si="30"/>
        <v>1</v>
      </c>
      <c r="O66" s="793"/>
      <c r="P66" s="798"/>
      <c r="Q66" s="165"/>
      <c r="R66" s="257"/>
      <c r="T66" s="466" t="s">
        <v>753</v>
      </c>
      <c r="U66" s="777" t="s">
        <v>997</v>
      </c>
      <c r="W66" s="500" t="s">
        <v>585</v>
      </c>
      <c r="X66" s="501" t="s">
        <v>585</v>
      </c>
      <c r="Y66" s="501" t="s">
        <v>585</v>
      </c>
      <c r="Z66" s="502" t="s">
        <v>412</v>
      </c>
      <c r="AA66" s="503" t="s">
        <v>755</v>
      </c>
      <c r="AB66" s="501" t="s">
        <v>585</v>
      </c>
      <c r="AC66" s="501" t="s">
        <v>585</v>
      </c>
      <c r="AD66" s="501" t="s">
        <v>998</v>
      </c>
      <c r="AE66" s="504" t="s">
        <v>999</v>
      </c>
      <c r="AF66" s="505" t="s">
        <v>585</v>
      </c>
      <c r="AG66" s="498" t="s">
        <v>1000</v>
      </c>
      <c r="AH66" s="499" t="s">
        <v>587</v>
      </c>
    </row>
    <row r="67" spans="1:34" ht="35.5">
      <c r="A67" s="1384"/>
      <c r="B67" s="167">
        <f t="shared" si="31"/>
        <v>34</v>
      </c>
      <c r="C67" s="170" t="s">
        <v>316</v>
      </c>
      <c r="D67" s="177" t="s">
        <v>595</v>
      </c>
      <c r="E67" s="56"/>
      <c r="F67" s="408"/>
      <c r="G67" s="408"/>
      <c r="H67" s="304"/>
      <c r="I67" s="925">
        <v>22656</v>
      </c>
      <c r="J67" s="183"/>
      <c r="K67" s="171" t="s">
        <v>505</v>
      </c>
      <c r="L67" s="172">
        <v>2</v>
      </c>
      <c r="M67" s="58">
        <v>1</v>
      </c>
      <c r="N67" s="109">
        <f t="shared" si="30"/>
        <v>0.5</v>
      </c>
      <c r="O67" s="793"/>
      <c r="P67" s="798"/>
      <c r="Q67" s="165"/>
      <c r="R67" s="257"/>
      <c r="T67" s="466" t="s">
        <v>757</v>
      </c>
      <c r="U67" s="777" t="s">
        <v>758</v>
      </c>
      <c r="W67" s="500" t="s">
        <v>585</v>
      </c>
      <c r="X67" s="501" t="s">
        <v>585</v>
      </c>
      <c r="Y67" s="501" t="s">
        <v>585</v>
      </c>
      <c r="Z67" s="502" t="s">
        <v>412</v>
      </c>
      <c r="AA67" s="503" t="s">
        <v>759</v>
      </c>
      <c r="AB67" s="501" t="s">
        <v>585</v>
      </c>
      <c r="AC67" s="501" t="s">
        <v>585</v>
      </c>
      <c r="AD67" s="501" t="s">
        <v>585</v>
      </c>
      <c r="AE67" s="504" t="s">
        <v>760</v>
      </c>
      <c r="AF67" s="505" t="s">
        <v>585</v>
      </c>
      <c r="AG67" s="498" t="s">
        <v>649</v>
      </c>
      <c r="AH67" s="499" t="s">
        <v>587</v>
      </c>
    </row>
    <row r="68" spans="1:34" ht="31.5" customHeight="1">
      <c r="A68" s="1384"/>
      <c r="B68" s="167">
        <f t="shared" si="31"/>
        <v>35</v>
      </c>
      <c r="C68" s="170" t="s">
        <v>317</v>
      </c>
      <c r="D68" s="177" t="s">
        <v>78</v>
      </c>
      <c r="E68" s="408"/>
      <c r="F68" s="408"/>
      <c r="G68" s="408"/>
      <c r="H68" s="408"/>
      <c r="I68" s="925">
        <v>23438</v>
      </c>
      <c r="J68" s="183"/>
      <c r="K68" s="171" t="s">
        <v>761</v>
      </c>
      <c r="L68" s="172">
        <v>4</v>
      </c>
      <c r="M68" s="58">
        <v>6</v>
      </c>
      <c r="N68" s="109">
        <f t="shared" si="30"/>
        <v>1</v>
      </c>
      <c r="O68" s="793"/>
      <c r="P68" s="798"/>
      <c r="Q68" s="165"/>
      <c r="R68" s="257"/>
      <c r="T68" s="466" t="s">
        <v>762</v>
      </c>
      <c r="U68" s="777" t="s">
        <v>1001</v>
      </c>
      <c r="W68" s="500" t="s">
        <v>585</v>
      </c>
      <c r="X68" s="501" t="s">
        <v>585</v>
      </c>
      <c r="Y68" s="501" t="s">
        <v>585</v>
      </c>
      <c r="Z68" s="502" t="s">
        <v>585</v>
      </c>
      <c r="AA68" s="503" t="s">
        <v>1002</v>
      </c>
      <c r="AB68" s="501" t="s">
        <v>585</v>
      </c>
      <c r="AC68" s="501" t="s">
        <v>585</v>
      </c>
      <c r="AD68" s="501" t="s">
        <v>585</v>
      </c>
      <c r="AE68" s="504" t="s">
        <v>585</v>
      </c>
      <c r="AF68" s="505" t="s">
        <v>585</v>
      </c>
      <c r="AG68" s="498" t="s">
        <v>1003</v>
      </c>
      <c r="AH68" s="499" t="s">
        <v>587</v>
      </c>
    </row>
    <row r="69" spans="1:34" ht="24">
      <c r="A69" s="1384"/>
      <c r="B69" s="167"/>
      <c r="C69" s="170" t="s">
        <v>318</v>
      </c>
      <c r="D69" s="177" t="s">
        <v>595</v>
      </c>
      <c r="E69" s="56"/>
      <c r="F69" s="56"/>
      <c r="G69" s="56"/>
      <c r="H69" s="304"/>
      <c r="I69" s="925" t="s">
        <v>962</v>
      </c>
      <c r="J69" s="183"/>
      <c r="K69" s="110" t="s">
        <v>765</v>
      </c>
      <c r="L69" s="172"/>
      <c r="M69" s="58"/>
      <c r="N69" s="109" t="str">
        <f t="shared" si="30"/>
        <v/>
      </c>
      <c r="O69" s="793"/>
      <c r="P69" s="798"/>
      <c r="Q69" s="165"/>
      <c r="R69" s="257"/>
      <c r="T69" s="466" t="s">
        <v>766</v>
      </c>
      <c r="U69" s="777" t="s">
        <v>1004</v>
      </c>
      <c r="W69" s="500"/>
      <c r="X69" s="501"/>
      <c r="Y69" s="501"/>
      <c r="Z69" s="502"/>
      <c r="AA69" s="503"/>
      <c r="AB69" s="501"/>
      <c r="AC69" s="501"/>
      <c r="AD69" s="501"/>
      <c r="AE69" s="504"/>
      <c r="AF69" s="505"/>
      <c r="AG69" s="498"/>
      <c r="AH69" s="499"/>
    </row>
    <row r="70" spans="1:34" ht="31.5">
      <c r="A70" s="1384"/>
      <c r="B70" s="167">
        <v>36</v>
      </c>
      <c r="C70" s="170" t="s">
        <v>319</v>
      </c>
      <c r="D70" s="178" t="s">
        <v>78</v>
      </c>
      <c r="E70" s="56"/>
      <c r="F70" s="408"/>
      <c r="G70" s="408"/>
      <c r="H70" s="304"/>
      <c r="I70" s="925">
        <v>4688</v>
      </c>
      <c r="J70" s="184"/>
      <c r="K70" s="110" t="s">
        <v>761</v>
      </c>
      <c r="L70" s="172">
        <v>6</v>
      </c>
      <c r="M70" s="58">
        <v>1</v>
      </c>
      <c r="N70" s="109">
        <f t="shared" si="30"/>
        <v>0.16666666666666666</v>
      </c>
      <c r="O70" s="799"/>
      <c r="P70" s="798"/>
      <c r="Q70" s="165"/>
      <c r="R70" s="257"/>
      <c r="T70" s="466" t="s">
        <v>770</v>
      </c>
      <c r="U70" s="777" t="s">
        <v>771</v>
      </c>
      <c r="W70" s="500" t="s">
        <v>412</v>
      </c>
      <c r="X70" s="501" t="s">
        <v>412</v>
      </c>
      <c r="Y70" s="501" t="s">
        <v>585</v>
      </c>
      <c r="Z70" s="502" t="s">
        <v>412</v>
      </c>
      <c r="AA70" s="503" t="s">
        <v>772</v>
      </c>
      <c r="AB70" s="501" t="s">
        <v>585</v>
      </c>
      <c r="AC70" s="501" t="s">
        <v>585</v>
      </c>
      <c r="AD70" s="501" t="s">
        <v>585</v>
      </c>
      <c r="AE70" s="504" t="s">
        <v>773</v>
      </c>
      <c r="AF70" s="505" t="s">
        <v>585</v>
      </c>
      <c r="AG70" s="498" t="s">
        <v>774</v>
      </c>
      <c r="AH70" s="499" t="s">
        <v>587</v>
      </c>
    </row>
    <row r="71" spans="1:34">
      <c r="A71" s="1385"/>
      <c r="B71" s="65"/>
      <c r="C71" s="81"/>
      <c r="D71" s="120"/>
      <c r="E71" s="67"/>
      <c r="F71" s="67"/>
      <c r="G71" s="67"/>
      <c r="H71" s="66"/>
      <c r="I71" s="926">
        <f t="shared" ref="I71" si="32">SUM(I64:I70)</f>
        <v>446290</v>
      </c>
      <c r="J71" s="358"/>
      <c r="K71" s="442"/>
      <c r="L71" s="440">
        <f>SUM(L64:L70)</f>
        <v>673</v>
      </c>
      <c r="M71" s="443">
        <f>SUM(M64:M70)</f>
        <v>1962</v>
      </c>
      <c r="N71" s="444">
        <f>IFERROR(AVERAGE(N64:N70),"")</f>
        <v>0.73333333333333328</v>
      </c>
      <c r="O71" s="444">
        <f>IFERROR(AVERAGE(N49:N55,N57:N62,N64:N70),"")</f>
        <v>0.73778998778998772</v>
      </c>
      <c r="P71" s="798"/>
      <c r="Q71" s="352">
        <f>SUM(Q64:Q70)</f>
        <v>0</v>
      </c>
      <c r="R71" s="70">
        <f t="shared" ref="R71" si="33">SUM(R64:R70)</f>
        <v>0</v>
      </c>
      <c r="T71" s="68"/>
      <c r="U71" s="469"/>
      <c r="W71" s="478"/>
      <c r="X71" s="67"/>
      <c r="Y71" s="67"/>
      <c r="Z71" s="67"/>
      <c r="AA71" s="67"/>
      <c r="AB71" s="67"/>
      <c r="AC71" s="67"/>
      <c r="AD71" s="67"/>
      <c r="AE71" s="67"/>
      <c r="AF71" s="67"/>
      <c r="AG71" s="67"/>
      <c r="AH71" s="467"/>
    </row>
    <row r="72" spans="1:34" ht="30.75" customHeight="1">
      <c r="A72" s="1387" t="s">
        <v>320</v>
      </c>
      <c r="B72" s="1388"/>
      <c r="C72" s="1388"/>
      <c r="D72" s="362"/>
      <c r="E72" s="904" t="s">
        <v>248</v>
      </c>
      <c r="F72" s="905" t="s">
        <v>249</v>
      </c>
      <c r="G72" s="905" t="s">
        <v>250</v>
      </c>
      <c r="H72" s="906" t="s">
        <v>251</v>
      </c>
      <c r="I72" s="927">
        <f t="shared" ref="I72" si="34">I77+I83+I88</f>
        <v>428438</v>
      </c>
      <c r="J72" s="907"/>
      <c r="K72" s="908"/>
      <c r="L72" s="909"/>
      <c r="M72" s="910"/>
      <c r="N72" s="911"/>
      <c r="O72" s="912"/>
      <c r="P72" s="798"/>
      <c r="Q72" s="373">
        <f t="shared" ref="Q72:R72" si="35">Q77+Q83+Q88</f>
        <v>0</v>
      </c>
      <c r="R72" s="374">
        <f t="shared" si="35"/>
        <v>0</v>
      </c>
      <c r="T72" s="801" t="s">
        <v>320</v>
      </c>
      <c r="U72" s="802"/>
      <c r="W72" s="801" t="s">
        <v>320</v>
      </c>
      <c r="X72" s="803"/>
      <c r="Y72" s="803"/>
      <c r="Z72" s="803"/>
      <c r="AA72" s="803"/>
      <c r="AB72" s="803"/>
      <c r="AC72" s="803"/>
      <c r="AD72" s="803"/>
      <c r="AE72" s="803"/>
      <c r="AF72" s="803"/>
      <c r="AG72" s="803"/>
      <c r="AH72" s="802"/>
    </row>
    <row r="73" spans="1:34" ht="30.65" customHeight="1">
      <c r="A73" s="1301" t="s">
        <v>321</v>
      </c>
      <c r="B73" s="167"/>
      <c r="C73" s="170" t="s">
        <v>322</v>
      </c>
      <c r="D73" s="176" t="s">
        <v>78</v>
      </c>
      <c r="E73" s="56"/>
      <c r="F73" s="56"/>
      <c r="G73" s="56"/>
      <c r="H73" s="304"/>
      <c r="I73" s="925" t="s">
        <v>962</v>
      </c>
      <c r="J73" s="182"/>
      <c r="K73" s="171"/>
      <c r="L73" s="1125"/>
      <c r="M73" s="58"/>
      <c r="N73" s="109" t="str">
        <f t="shared" ref="N73:N76" si="36">IF(L73,MIN(1,M73/L73),"")</f>
        <v/>
      </c>
      <c r="O73" s="800"/>
      <c r="P73" s="798"/>
      <c r="Q73" s="165"/>
      <c r="R73" s="257"/>
      <c r="T73" s="466" t="s">
        <v>775</v>
      </c>
      <c r="U73" s="497"/>
      <c r="W73" s="500"/>
      <c r="X73" s="501"/>
      <c r="Y73" s="501"/>
      <c r="Z73" s="502"/>
      <c r="AA73" s="503"/>
      <c r="AB73" s="501"/>
      <c r="AC73" s="501"/>
      <c r="AD73" s="501"/>
      <c r="AE73" s="504"/>
      <c r="AF73" s="505"/>
      <c r="AG73" s="498"/>
      <c r="AH73" s="499"/>
    </row>
    <row r="74" spans="1:34" ht="30.65" customHeight="1">
      <c r="A74" s="1376"/>
      <c r="B74" s="167"/>
      <c r="C74" s="170" t="s">
        <v>323</v>
      </c>
      <c r="D74" s="177" t="s">
        <v>588</v>
      </c>
      <c r="E74" s="56"/>
      <c r="F74" s="56"/>
      <c r="G74" s="56"/>
      <c r="H74" s="304"/>
      <c r="I74" s="925" t="s">
        <v>962</v>
      </c>
      <c r="J74" s="183"/>
      <c r="K74" s="171" t="s">
        <v>505</v>
      </c>
      <c r="L74" s="1125"/>
      <c r="M74" s="58"/>
      <c r="N74" s="109" t="str">
        <f t="shared" si="36"/>
        <v/>
      </c>
      <c r="O74" s="798"/>
      <c r="P74" s="798"/>
      <c r="Q74" s="165"/>
      <c r="R74" s="257"/>
      <c r="T74" s="466" t="s">
        <v>776</v>
      </c>
      <c r="U74" s="497"/>
      <c r="W74" s="500"/>
      <c r="X74" s="501"/>
      <c r="Y74" s="501"/>
      <c r="Z74" s="502"/>
      <c r="AA74" s="503"/>
      <c r="AB74" s="501"/>
      <c r="AC74" s="501"/>
      <c r="AD74" s="501"/>
      <c r="AE74" s="504"/>
      <c r="AF74" s="505"/>
      <c r="AG74" s="498"/>
      <c r="AH74" s="499"/>
    </row>
    <row r="75" spans="1:34" ht="30.65" customHeight="1">
      <c r="A75" s="1376"/>
      <c r="B75" s="167"/>
      <c r="C75" s="170" t="s">
        <v>324</v>
      </c>
      <c r="D75" s="177" t="s">
        <v>588</v>
      </c>
      <c r="E75" s="56"/>
      <c r="F75" s="56"/>
      <c r="G75" s="56"/>
      <c r="H75" s="304"/>
      <c r="I75" s="925" t="s">
        <v>962</v>
      </c>
      <c r="J75" s="183"/>
      <c r="K75" s="171" t="s">
        <v>780</v>
      </c>
      <c r="L75" s="1125"/>
      <c r="M75" s="58"/>
      <c r="N75" s="109" t="str">
        <f t="shared" si="36"/>
        <v/>
      </c>
      <c r="O75" s="798"/>
      <c r="P75" s="798"/>
      <c r="Q75" s="165"/>
      <c r="R75" s="257"/>
      <c r="T75" s="466" t="s">
        <v>781</v>
      </c>
      <c r="U75" s="497"/>
      <c r="W75" s="500"/>
      <c r="X75" s="501"/>
      <c r="Y75" s="501"/>
      <c r="Z75" s="502"/>
      <c r="AA75" s="503"/>
      <c r="AB75" s="501"/>
      <c r="AC75" s="501"/>
      <c r="AD75" s="501"/>
      <c r="AE75" s="504"/>
      <c r="AF75" s="505"/>
      <c r="AG75" s="498"/>
      <c r="AH75" s="499"/>
    </row>
    <row r="76" spans="1:34" ht="30.65" customHeight="1">
      <c r="A76" s="1376"/>
      <c r="B76" s="167"/>
      <c r="C76" s="170" t="s">
        <v>325</v>
      </c>
      <c r="D76" s="178" t="s">
        <v>588</v>
      </c>
      <c r="E76" s="56"/>
      <c r="F76" s="56"/>
      <c r="G76" s="56"/>
      <c r="H76" s="304"/>
      <c r="I76" s="925" t="s">
        <v>962</v>
      </c>
      <c r="J76" s="184"/>
      <c r="K76" s="171" t="s">
        <v>505</v>
      </c>
      <c r="L76" s="1125"/>
      <c r="M76" s="58"/>
      <c r="N76" s="109" t="str">
        <f t="shared" si="36"/>
        <v/>
      </c>
      <c r="O76" s="798"/>
      <c r="P76" s="798"/>
      <c r="Q76" s="165"/>
      <c r="R76" s="257"/>
      <c r="T76" s="466" t="s">
        <v>784</v>
      </c>
      <c r="U76" s="497"/>
      <c r="W76" s="500"/>
      <c r="X76" s="501"/>
      <c r="Y76" s="501"/>
      <c r="Z76" s="502"/>
      <c r="AA76" s="503"/>
      <c r="AB76" s="501"/>
      <c r="AC76" s="501"/>
      <c r="AD76" s="501"/>
      <c r="AE76" s="504"/>
      <c r="AF76" s="505"/>
      <c r="AG76" s="498"/>
      <c r="AH76" s="499"/>
    </row>
    <row r="77" spans="1:34">
      <c r="A77" s="1386"/>
      <c r="B77" s="65"/>
      <c r="C77" s="81"/>
      <c r="D77" s="120"/>
      <c r="E77" s="67"/>
      <c r="F77" s="67"/>
      <c r="G77" s="67"/>
      <c r="H77" s="66"/>
      <c r="I77" s="926">
        <f t="shared" ref="I77" si="37">SUM(I73:I76)</f>
        <v>0</v>
      </c>
      <c r="J77" s="358"/>
      <c r="K77" s="111"/>
      <c r="L77" s="173">
        <f>SUM(L73:L76)</f>
        <v>0</v>
      </c>
      <c r="M77" s="68">
        <f>SUM(M73:M76)</f>
        <v>0</v>
      </c>
      <c r="N77" s="69" t="str">
        <f>IFERROR(AVERAGE(N73:N76),"")</f>
        <v/>
      </c>
      <c r="O77" s="798"/>
      <c r="P77" s="798"/>
      <c r="Q77" s="352">
        <f>SUM(Q73:Q76)</f>
        <v>0</v>
      </c>
      <c r="R77" s="70">
        <f>SUM(R73:R76)</f>
        <v>0</v>
      </c>
      <c r="T77" s="68"/>
      <c r="U77" s="469"/>
      <c r="W77" s="478"/>
      <c r="X77" s="67"/>
      <c r="Y77" s="67"/>
      <c r="Z77" s="67"/>
      <c r="AA77" s="67"/>
      <c r="AB77" s="67"/>
      <c r="AC77" s="67"/>
      <c r="AD77" s="67"/>
      <c r="AE77" s="67"/>
      <c r="AF77" s="67"/>
      <c r="AG77" s="67"/>
      <c r="AH77" s="467"/>
    </row>
    <row r="78" spans="1:34" ht="30.65" customHeight="1">
      <c r="A78" s="1356" t="s">
        <v>326</v>
      </c>
      <c r="B78" s="167">
        <v>37</v>
      </c>
      <c r="C78" s="170" t="s">
        <v>327</v>
      </c>
      <c r="D78" s="176" t="s">
        <v>582</v>
      </c>
      <c r="E78" s="56"/>
      <c r="F78" s="408"/>
      <c r="G78" s="408"/>
      <c r="H78" s="408"/>
      <c r="I78" s="925">
        <v>3906</v>
      </c>
      <c r="J78" s="182"/>
      <c r="K78" s="171" t="s">
        <v>788</v>
      </c>
      <c r="L78" s="1125">
        <v>1</v>
      </c>
      <c r="M78" s="58">
        <v>0</v>
      </c>
      <c r="N78" s="109">
        <f t="shared" ref="N78:N82" si="38">IF(L78,MIN(1,M78/L78),"")</f>
        <v>0</v>
      </c>
      <c r="O78" s="798"/>
      <c r="P78" s="798"/>
      <c r="Q78" s="165"/>
      <c r="R78" s="257"/>
      <c r="T78" s="466" t="s">
        <v>789</v>
      </c>
      <c r="U78" s="776" t="s">
        <v>790</v>
      </c>
      <c r="W78" s="500" t="s">
        <v>585</v>
      </c>
      <c r="X78" s="501" t="s">
        <v>412</v>
      </c>
      <c r="Y78" s="501" t="s">
        <v>585</v>
      </c>
      <c r="Z78" s="502" t="s">
        <v>412</v>
      </c>
      <c r="AA78" s="503" t="s">
        <v>791</v>
      </c>
      <c r="AB78" s="501" t="s">
        <v>585</v>
      </c>
      <c r="AC78" s="501" t="s">
        <v>585</v>
      </c>
      <c r="AD78" s="501" t="s">
        <v>585</v>
      </c>
      <c r="AE78" s="504" t="s">
        <v>792</v>
      </c>
      <c r="AF78" s="505" t="s">
        <v>585</v>
      </c>
      <c r="AG78" s="498" t="s">
        <v>793</v>
      </c>
      <c r="AH78" s="499" t="s">
        <v>587</v>
      </c>
    </row>
    <row r="79" spans="1:34" ht="31.5">
      <c r="A79" s="1376"/>
      <c r="B79" s="167">
        <f>B78+1</f>
        <v>38</v>
      </c>
      <c r="C79" s="170" t="s">
        <v>328</v>
      </c>
      <c r="D79" s="177" t="s">
        <v>582</v>
      </c>
      <c r="E79" s="408"/>
      <c r="F79" s="408"/>
      <c r="G79" s="56"/>
      <c r="H79" s="304"/>
      <c r="I79" s="925">
        <v>3906</v>
      </c>
      <c r="J79" s="183"/>
      <c r="K79" s="171" t="s">
        <v>794</v>
      </c>
      <c r="L79" s="1125">
        <v>1</v>
      </c>
      <c r="M79" s="58">
        <v>1</v>
      </c>
      <c r="N79" s="109">
        <f t="shared" si="38"/>
        <v>1</v>
      </c>
      <c r="O79" s="798"/>
      <c r="P79" s="798"/>
      <c r="Q79" s="165"/>
      <c r="R79" s="257"/>
      <c r="T79" s="466" t="s">
        <v>795</v>
      </c>
      <c r="U79" s="777" t="s">
        <v>796</v>
      </c>
      <c r="W79" s="500" t="s">
        <v>412</v>
      </c>
      <c r="X79" s="501" t="s">
        <v>412</v>
      </c>
      <c r="Y79" s="501" t="s">
        <v>412</v>
      </c>
      <c r="Z79" s="502" t="s">
        <v>412</v>
      </c>
      <c r="AA79" s="503" t="s">
        <v>412</v>
      </c>
      <c r="AB79" s="501" t="s">
        <v>412</v>
      </c>
      <c r="AC79" s="501" t="s">
        <v>412</v>
      </c>
      <c r="AD79" s="501" t="s">
        <v>412</v>
      </c>
      <c r="AE79" s="504" t="s">
        <v>412</v>
      </c>
      <c r="AF79" s="505" t="s">
        <v>585</v>
      </c>
      <c r="AG79" s="498" t="s">
        <v>1005</v>
      </c>
      <c r="AH79" s="499" t="s">
        <v>587</v>
      </c>
    </row>
    <row r="80" spans="1:34" ht="36">
      <c r="A80" s="1376"/>
      <c r="B80" s="167">
        <f t="shared" ref="B80:B82" si="39">B79+1</f>
        <v>39</v>
      </c>
      <c r="C80" s="170" t="s">
        <v>329</v>
      </c>
      <c r="D80" s="177" t="s">
        <v>582</v>
      </c>
      <c r="E80" s="408"/>
      <c r="F80" s="408"/>
      <c r="G80" s="408"/>
      <c r="H80" s="304"/>
      <c r="I80" s="925">
        <v>6563</v>
      </c>
      <c r="J80" s="183"/>
      <c r="K80" s="171" t="s">
        <v>719</v>
      </c>
      <c r="L80" s="1125">
        <v>4</v>
      </c>
      <c r="M80" s="58">
        <v>3</v>
      </c>
      <c r="N80" s="109">
        <f t="shared" si="38"/>
        <v>0.75</v>
      </c>
      <c r="O80" s="798"/>
      <c r="P80" s="798"/>
      <c r="Q80" s="165"/>
      <c r="R80" s="257"/>
      <c r="T80" s="466" t="s">
        <v>798</v>
      </c>
      <c r="U80" s="777" t="s">
        <v>799</v>
      </c>
      <c r="W80" s="500" t="s">
        <v>412</v>
      </c>
      <c r="X80" s="501" t="s">
        <v>412</v>
      </c>
      <c r="Y80" s="501" t="s">
        <v>412</v>
      </c>
      <c r="Z80" s="502" t="s">
        <v>412</v>
      </c>
      <c r="AA80" s="503" t="s">
        <v>412</v>
      </c>
      <c r="AB80" s="501" t="s">
        <v>412</v>
      </c>
      <c r="AC80" s="501" t="s">
        <v>412</v>
      </c>
      <c r="AD80" s="501" t="s">
        <v>412</v>
      </c>
      <c r="AE80" s="504" t="s">
        <v>412</v>
      </c>
      <c r="AF80" s="505" t="s">
        <v>585</v>
      </c>
      <c r="AG80" s="498" t="s">
        <v>800</v>
      </c>
      <c r="AH80" s="499" t="s">
        <v>587</v>
      </c>
    </row>
    <row r="81" spans="1:34" ht="30.65" customHeight="1">
      <c r="A81" s="1376"/>
      <c r="B81" s="167">
        <f t="shared" si="39"/>
        <v>40</v>
      </c>
      <c r="C81" s="170" t="s">
        <v>330</v>
      </c>
      <c r="D81" s="177" t="s">
        <v>588</v>
      </c>
      <c r="E81" s="56"/>
      <c r="F81" s="408"/>
      <c r="G81" s="408"/>
      <c r="H81" s="408"/>
      <c r="I81" s="925">
        <v>40625</v>
      </c>
      <c r="J81" s="183"/>
      <c r="K81" s="171" t="s">
        <v>801</v>
      </c>
      <c r="L81" s="1125">
        <v>2</v>
      </c>
      <c r="M81" s="58">
        <v>2</v>
      </c>
      <c r="N81" s="109">
        <f t="shared" si="38"/>
        <v>1</v>
      </c>
      <c r="O81" s="798"/>
      <c r="P81" s="798"/>
      <c r="Q81" s="165"/>
      <c r="R81" s="257"/>
      <c r="T81" s="466" t="s">
        <v>802</v>
      </c>
      <c r="U81" s="777" t="s">
        <v>1006</v>
      </c>
      <c r="W81" s="500" t="s">
        <v>412</v>
      </c>
      <c r="X81" s="501" t="s">
        <v>412</v>
      </c>
      <c r="Y81" s="501" t="s">
        <v>585</v>
      </c>
      <c r="Z81" s="502" t="s">
        <v>412</v>
      </c>
      <c r="AA81" s="503" t="s">
        <v>804</v>
      </c>
      <c r="AB81" s="501" t="s">
        <v>585</v>
      </c>
      <c r="AC81" s="501" t="s">
        <v>585</v>
      </c>
      <c r="AD81" s="501" t="s">
        <v>805</v>
      </c>
      <c r="AE81" s="504" t="s">
        <v>806</v>
      </c>
      <c r="AF81" s="505" t="s">
        <v>585</v>
      </c>
      <c r="AG81" s="498" t="s">
        <v>1007</v>
      </c>
      <c r="AH81" s="499" t="s">
        <v>587</v>
      </c>
    </row>
    <row r="82" spans="1:34" ht="30.65" customHeight="1">
      <c r="A82" s="1376"/>
      <c r="B82" s="167">
        <f t="shared" si="39"/>
        <v>41</v>
      </c>
      <c r="C82" s="170" t="s">
        <v>331</v>
      </c>
      <c r="D82" s="178" t="s">
        <v>588</v>
      </c>
      <c r="E82" s="408"/>
      <c r="F82" s="408"/>
      <c r="G82" s="408"/>
      <c r="H82" s="408"/>
      <c r="I82" s="925">
        <v>4688</v>
      </c>
      <c r="J82" s="184"/>
      <c r="K82" s="1126" t="s">
        <v>719</v>
      </c>
      <c r="L82" s="1125">
        <v>3</v>
      </c>
      <c r="M82" s="58">
        <v>3</v>
      </c>
      <c r="N82" s="109">
        <f t="shared" si="38"/>
        <v>1</v>
      </c>
      <c r="O82" s="798"/>
      <c r="P82" s="798"/>
      <c r="Q82" s="165"/>
      <c r="R82" s="257"/>
      <c r="T82" s="466" t="s">
        <v>808</v>
      </c>
      <c r="U82" s="777" t="s">
        <v>809</v>
      </c>
      <c r="W82" s="500" t="s">
        <v>412</v>
      </c>
      <c r="X82" s="501" t="s">
        <v>412</v>
      </c>
      <c r="Y82" s="501" t="s">
        <v>412</v>
      </c>
      <c r="Z82" s="502" t="s">
        <v>412</v>
      </c>
      <c r="AA82" s="503" t="s">
        <v>412</v>
      </c>
      <c r="AB82" s="501" t="s">
        <v>412</v>
      </c>
      <c r="AC82" s="501" t="s">
        <v>412</v>
      </c>
      <c r="AD82" s="501" t="s">
        <v>412</v>
      </c>
      <c r="AE82" s="504" t="s">
        <v>412</v>
      </c>
      <c r="AF82" s="505" t="s">
        <v>585</v>
      </c>
      <c r="AG82" s="498" t="s">
        <v>810</v>
      </c>
      <c r="AH82" s="499" t="s">
        <v>587</v>
      </c>
    </row>
    <row r="83" spans="1:34">
      <c r="A83" s="1377"/>
      <c r="B83" s="65"/>
      <c r="C83" s="81"/>
      <c r="D83" s="120"/>
      <c r="E83" s="67"/>
      <c r="F83" s="67"/>
      <c r="G83" s="67"/>
      <c r="H83" s="66"/>
      <c r="I83" s="926">
        <f t="shared" ref="I83" si="40">SUM(I78:I82)</f>
        <v>59688</v>
      </c>
      <c r="J83" s="358"/>
      <c r="K83" s="111"/>
      <c r="L83" s="173">
        <f>SUM(L78:L82)</f>
        <v>11</v>
      </c>
      <c r="M83" s="68">
        <f>SUM(M78:M82)</f>
        <v>9</v>
      </c>
      <c r="N83" s="69">
        <f>IFERROR(AVERAGE(N78:N82),"")</f>
        <v>0.75</v>
      </c>
      <c r="O83" s="798"/>
      <c r="P83" s="798"/>
      <c r="Q83" s="352">
        <f>SUM(Q78:Q82)</f>
        <v>0</v>
      </c>
      <c r="R83" s="70">
        <f>SUM(R78:R82)</f>
        <v>0</v>
      </c>
      <c r="T83" s="68"/>
      <c r="U83" s="469"/>
      <c r="W83" s="478"/>
      <c r="X83" s="67"/>
      <c r="Y83" s="67"/>
      <c r="Z83" s="67"/>
      <c r="AA83" s="67"/>
      <c r="AB83" s="67"/>
      <c r="AC83" s="67"/>
      <c r="AD83" s="67"/>
      <c r="AE83" s="67"/>
      <c r="AF83" s="67"/>
      <c r="AG83" s="67"/>
      <c r="AH83" s="467"/>
    </row>
    <row r="84" spans="1:34" ht="30.65" customHeight="1">
      <c r="A84" s="1301" t="s">
        <v>332</v>
      </c>
      <c r="B84" s="167">
        <f>B82+1</f>
        <v>42</v>
      </c>
      <c r="C84" s="170" t="s">
        <v>333</v>
      </c>
      <c r="D84" s="176" t="s">
        <v>588</v>
      </c>
      <c r="E84" s="56"/>
      <c r="F84" s="408"/>
      <c r="G84" s="408"/>
      <c r="H84" s="304"/>
      <c r="I84" s="925">
        <v>3906</v>
      </c>
      <c r="J84" s="182"/>
      <c r="K84" s="171" t="s">
        <v>811</v>
      </c>
      <c r="L84" s="1125">
        <v>1</v>
      </c>
      <c r="M84" s="58">
        <v>0</v>
      </c>
      <c r="N84" s="109">
        <f t="shared" ref="N84:N87" si="41">IF(L84,MIN(1,M84/L84),"")</f>
        <v>0</v>
      </c>
      <c r="O84" s="798"/>
      <c r="P84" s="798"/>
      <c r="Q84" s="165"/>
      <c r="R84" s="257"/>
      <c r="T84" s="466" t="s">
        <v>812</v>
      </c>
      <c r="U84" s="776" t="s">
        <v>813</v>
      </c>
      <c r="W84" s="500" t="s">
        <v>412</v>
      </c>
      <c r="X84" s="501" t="s">
        <v>412</v>
      </c>
      <c r="Y84" s="501" t="s">
        <v>412</v>
      </c>
      <c r="Z84" s="502" t="s">
        <v>412</v>
      </c>
      <c r="AA84" s="503" t="s">
        <v>412</v>
      </c>
      <c r="AB84" s="501" t="s">
        <v>412</v>
      </c>
      <c r="AC84" s="501" t="s">
        <v>814</v>
      </c>
      <c r="AD84" s="501" t="s">
        <v>412</v>
      </c>
      <c r="AE84" s="504" t="s">
        <v>792</v>
      </c>
      <c r="AF84" s="505" t="s">
        <v>585</v>
      </c>
      <c r="AG84" s="498" t="s">
        <v>815</v>
      </c>
      <c r="AH84" s="499" t="s">
        <v>587</v>
      </c>
    </row>
    <row r="85" spans="1:34" ht="70.5" customHeight="1">
      <c r="A85" s="1376"/>
      <c r="B85" s="167">
        <f>B84+1</f>
        <v>43</v>
      </c>
      <c r="C85" s="170" t="s">
        <v>334</v>
      </c>
      <c r="D85" s="177" t="s">
        <v>595</v>
      </c>
      <c r="E85" s="408"/>
      <c r="F85" s="408"/>
      <c r="G85" s="408"/>
      <c r="H85" s="408"/>
      <c r="I85" s="925">
        <v>329688</v>
      </c>
      <c r="J85" s="183"/>
      <c r="K85" s="171" t="s">
        <v>689</v>
      </c>
      <c r="L85" s="1125">
        <v>12</v>
      </c>
      <c r="M85" s="58">
        <v>12</v>
      </c>
      <c r="N85" s="109">
        <f t="shared" si="41"/>
        <v>1</v>
      </c>
      <c r="O85" s="798"/>
      <c r="P85" s="798"/>
      <c r="Q85" s="165"/>
      <c r="R85" s="257"/>
      <c r="T85" s="466" t="s">
        <v>816</v>
      </c>
      <c r="U85" s="777" t="s">
        <v>1008</v>
      </c>
      <c r="W85" s="500" t="s">
        <v>585</v>
      </c>
      <c r="X85" s="501" t="s">
        <v>585</v>
      </c>
      <c r="Y85" s="501" t="s">
        <v>585</v>
      </c>
      <c r="Z85" s="502" t="s">
        <v>585</v>
      </c>
      <c r="AA85" s="503" t="s">
        <v>818</v>
      </c>
      <c r="AB85" s="501" t="s">
        <v>585</v>
      </c>
      <c r="AC85" s="501" t="s">
        <v>585</v>
      </c>
      <c r="AD85" s="501" t="s">
        <v>585</v>
      </c>
      <c r="AE85" s="504" t="s">
        <v>819</v>
      </c>
      <c r="AF85" s="505" t="s">
        <v>585</v>
      </c>
      <c r="AG85" s="498" t="s">
        <v>820</v>
      </c>
      <c r="AH85" s="499" t="s">
        <v>587</v>
      </c>
    </row>
    <row r="86" spans="1:34" ht="30.65" customHeight="1">
      <c r="A86" s="1376"/>
      <c r="B86" s="167">
        <f t="shared" ref="B86:B87" si="42">B85+1</f>
        <v>44</v>
      </c>
      <c r="C86" s="170" t="s">
        <v>335</v>
      </c>
      <c r="D86" s="177" t="s">
        <v>595</v>
      </c>
      <c r="E86" s="56"/>
      <c r="F86" s="408"/>
      <c r="G86" s="408"/>
      <c r="H86" s="408"/>
      <c r="I86" s="925">
        <v>31250</v>
      </c>
      <c r="J86" s="183"/>
      <c r="K86" s="171" t="s">
        <v>504</v>
      </c>
      <c r="L86" s="1125">
        <v>2</v>
      </c>
      <c r="M86" s="58">
        <v>0</v>
      </c>
      <c r="N86" s="109">
        <f t="shared" si="41"/>
        <v>0</v>
      </c>
      <c r="O86" s="798"/>
      <c r="P86" s="798"/>
      <c r="Q86" s="165"/>
      <c r="R86" s="257"/>
      <c r="T86" s="466" t="s">
        <v>821</v>
      </c>
      <c r="U86" s="777" t="s">
        <v>822</v>
      </c>
      <c r="W86" s="500" t="s">
        <v>412</v>
      </c>
      <c r="X86" s="501" t="s">
        <v>412</v>
      </c>
      <c r="Y86" s="501" t="s">
        <v>412</v>
      </c>
      <c r="Z86" s="502" t="s">
        <v>412</v>
      </c>
      <c r="AA86" s="503" t="s">
        <v>412</v>
      </c>
      <c r="AB86" s="501" t="s">
        <v>585</v>
      </c>
      <c r="AC86" s="501" t="s">
        <v>585</v>
      </c>
      <c r="AD86" s="501" t="s">
        <v>412</v>
      </c>
      <c r="AE86" s="504" t="s">
        <v>819</v>
      </c>
      <c r="AF86" s="505" t="s">
        <v>585</v>
      </c>
      <c r="AG86" s="498" t="s">
        <v>823</v>
      </c>
      <c r="AH86" s="499" t="s">
        <v>587</v>
      </c>
    </row>
    <row r="87" spans="1:34" ht="30.65" customHeight="1">
      <c r="A87" s="1376"/>
      <c r="B87" s="167">
        <f t="shared" si="42"/>
        <v>45</v>
      </c>
      <c r="C87" s="170" t="s">
        <v>336</v>
      </c>
      <c r="D87" s="178" t="s">
        <v>588</v>
      </c>
      <c r="E87" s="408"/>
      <c r="F87" s="408"/>
      <c r="G87" s="408"/>
      <c r="H87" s="408"/>
      <c r="I87" s="925">
        <v>3906</v>
      </c>
      <c r="J87" s="184"/>
      <c r="K87" s="171" t="s">
        <v>824</v>
      </c>
      <c r="L87" s="1125">
        <v>1</v>
      </c>
      <c r="M87" s="58">
        <v>1</v>
      </c>
      <c r="N87" s="109">
        <f t="shared" si="41"/>
        <v>1</v>
      </c>
      <c r="O87" s="798"/>
      <c r="P87" s="798"/>
      <c r="Q87" s="165"/>
      <c r="R87" s="257"/>
      <c r="T87" s="466" t="s">
        <v>825</v>
      </c>
      <c r="U87" s="777" t="s">
        <v>826</v>
      </c>
      <c r="W87" s="500" t="s">
        <v>412</v>
      </c>
      <c r="X87" s="501" t="s">
        <v>412</v>
      </c>
      <c r="Y87" s="501" t="s">
        <v>412</v>
      </c>
      <c r="Z87" s="502" t="s">
        <v>412</v>
      </c>
      <c r="AA87" s="503" t="s">
        <v>412</v>
      </c>
      <c r="AB87" s="501" t="s">
        <v>585</v>
      </c>
      <c r="AC87" s="501" t="s">
        <v>585</v>
      </c>
      <c r="AD87" s="501" t="s">
        <v>412</v>
      </c>
      <c r="AE87" s="504" t="s">
        <v>819</v>
      </c>
      <c r="AF87" s="505" t="s">
        <v>585</v>
      </c>
      <c r="AG87" s="498" t="s">
        <v>823</v>
      </c>
      <c r="AH87" s="499" t="s">
        <v>587</v>
      </c>
    </row>
    <row r="88" spans="1:34">
      <c r="A88" s="1377"/>
      <c r="B88" s="65"/>
      <c r="C88" s="81"/>
      <c r="D88" s="120"/>
      <c r="E88" s="67"/>
      <c r="F88" s="67"/>
      <c r="G88" s="67"/>
      <c r="H88" s="66"/>
      <c r="I88" s="926">
        <f t="shared" ref="I88" si="43">SUM(I84:I87)</f>
        <v>368750</v>
      </c>
      <c r="J88" s="358"/>
      <c r="K88" s="111"/>
      <c r="L88" s="440">
        <f>SUM(L84:L87)</f>
        <v>16</v>
      </c>
      <c r="M88" s="443">
        <f>SUM(M84:M87)</f>
        <v>13</v>
      </c>
      <c r="N88" s="444">
        <f>IFERROR(AVERAGE(N84:N87),"")</f>
        <v>0.5</v>
      </c>
      <c r="O88" s="444" t="str" cm="1">
        <f t="array" aca="1" ref="O88" ca="1">IFERROR(AVRAGE(N73:N76,N78:N82,N84:N87),"")</f>
        <v/>
      </c>
      <c r="P88" s="798"/>
      <c r="Q88" s="352">
        <f>SUM(Q84:Q87)</f>
        <v>0</v>
      </c>
      <c r="R88" s="70">
        <f>SUM(R84:R87)</f>
        <v>0</v>
      </c>
      <c r="T88" s="68"/>
      <c r="U88" s="469"/>
      <c r="W88" s="478"/>
      <c r="X88" s="67"/>
      <c r="Y88" s="67"/>
      <c r="Z88" s="67"/>
      <c r="AA88" s="67"/>
      <c r="AB88" s="67"/>
      <c r="AC88" s="67"/>
      <c r="AD88" s="67"/>
      <c r="AE88" s="67"/>
      <c r="AF88" s="67"/>
      <c r="AG88" s="67"/>
      <c r="AH88" s="467"/>
    </row>
    <row r="89" spans="1:34" ht="30.75" customHeight="1">
      <c r="A89" s="902" t="s">
        <v>337</v>
      </c>
      <c r="B89" s="903"/>
      <c r="C89" s="903"/>
      <c r="D89" s="362"/>
      <c r="E89" s="363" t="s">
        <v>248</v>
      </c>
      <c r="F89" s="364" t="s">
        <v>249</v>
      </c>
      <c r="G89" s="364" t="s">
        <v>250</v>
      </c>
      <c r="H89" s="365" t="s">
        <v>251</v>
      </c>
      <c r="I89" s="927">
        <f t="shared" ref="I89" si="44">I93+I98</f>
        <v>65672</v>
      </c>
      <c r="J89" s="366"/>
      <c r="K89" s="367"/>
      <c r="L89" s="368"/>
      <c r="M89" s="369"/>
      <c r="N89" s="370"/>
      <c r="O89" s="371"/>
      <c r="P89" s="798"/>
      <c r="Q89" s="373">
        <f t="shared" ref="Q89:R89" si="45">Q93+Q98</f>
        <v>0</v>
      </c>
      <c r="R89" s="374">
        <f t="shared" si="45"/>
        <v>0</v>
      </c>
      <c r="T89" s="801" t="s">
        <v>337</v>
      </c>
      <c r="U89" s="802"/>
      <c r="W89" s="801" t="s">
        <v>337</v>
      </c>
      <c r="X89" s="803"/>
      <c r="Y89" s="803"/>
      <c r="Z89" s="803"/>
      <c r="AA89" s="803"/>
      <c r="AB89" s="803"/>
      <c r="AC89" s="803"/>
      <c r="AD89" s="803"/>
      <c r="AE89" s="803"/>
      <c r="AF89" s="803"/>
      <c r="AG89" s="803"/>
      <c r="AH89" s="802"/>
    </row>
    <row r="90" spans="1:34" ht="30.65" customHeight="1">
      <c r="A90" s="1301" t="s">
        <v>338</v>
      </c>
      <c r="B90" s="167">
        <f>B87+1</f>
        <v>46</v>
      </c>
      <c r="C90" s="170" t="s">
        <v>339</v>
      </c>
      <c r="D90" s="176" t="s">
        <v>595</v>
      </c>
      <c r="E90" s="56"/>
      <c r="F90" s="408"/>
      <c r="G90" s="408"/>
      <c r="H90" s="408"/>
      <c r="I90" s="925">
        <v>19531</v>
      </c>
      <c r="J90" s="182"/>
      <c r="K90" s="171" t="s">
        <v>827</v>
      </c>
      <c r="L90" s="1125">
        <v>100</v>
      </c>
      <c r="M90" s="58">
        <v>100</v>
      </c>
      <c r="N90" s="109">
        <f t="shared" ref="N90:N92" si="46">IF(L90,MIN(1,M90/L90),"")</f>
        <v>1</v>
      </c>
      <c r="O90" s="796"/>
      <c r="P90" s="798"/>
      <c r="Q90" s="165"/>
      <c r="R90" s="257"/>
      <c r="T90" s="466" t="s">
        <v>828</v>
      </c>
      <c r="U90" s="776" t="s">
        <v>1009</v>
      </c>
      <c r="W90" s="500" t="s">
        <v>412</v>
      </c>
      <c r="X90" s="501" t="s">
        <v>412</v>
      </c>
      <c r="Y90" s="501" t="s">
        <v>412</v>
      </c>
      <c r="Z90" s="502" t="s">
        <v>412</v>
      </c>
      <c r="AA90" s="503" t="s">
        <v>412</v>
      </c>
      <c r="AB90" s="501" t="s">
        <v>412</v>
      </c>
      <c r="AC90" s="501" t="s">
        <v>412</v>
      </c>
      <c r="AD90" s="501" t="s">
        <v>412</v>
      </c>
      <c r="AE90" s="504" t="s">
        <v>412</v>
      </c>
      <c r="AF90" s="505" t="s">
        <v>585</v>
      </c>
      <c r="AG90" s="498" t="s">
        <v>830</v>
      </c>
      <c r="AH90" s="499" t="s">
        <v>587</v>
      </c>
    </row>
    <row r="91" spans="1:34" ht="31.5">
      <c r="A91" s="1376"/>
      <c r="B91" s="167">
        <f>B90+1</f>
        <v>47</v>
      </c>
      <c r="C91" s="170" t="s">
        <v>340</v>
      </c>
      <c r="D91" s="177" t="s">
        <v>78</v>
      </c>
      <c r="E91" s="56"/>
      <c r="F91" s="408"/>
      <c r="G91" s="408"/>
      <c r="H91" s="408"/>
      <c r="I91" s="925">
        <v>28125</v>
      </c>
      <c r="J91" s="183"/>
      <c r="K91" s="171" t="s">
        <v>699</v>
      </c>
      <c r="L91" s="1125">
        <v>3</v>
      </c>
      <c r="M91" s="58">
        <v>13</v>
      </c>
      <c r="N91" s="109">
        <f t="shared" si="46"/>
        <v>1</v>
      </c>
      <c r="O91" s="797"/>
      <c r="P91" s="798"/>
      <c r="Q91" s="165"/>
      <c r="R91" s="257"/>
      <c r="T91" s="466" t="s">
        <v>831</v>
      </c>
      <c r="U91" s="777" t="s">
        <v>832</v>
      </c>
      <c r="W91" s="500" t="s">
        <v>412</v>
      </c>
      <c r="X91" s="501" t="s">
        <v>412</v>
      </c>
      <c r="Y91" s="501" t="s">
        <v>412</v>
      </c>
      <c r="Z91" s="502" t="s">
        <v>412</v>
      </c>
      <c r="AA91" s="503" t="s">
        <v>412</v>
      </c>
      <c r="AB91" s="501" t="s">
        <v>412</v>
      </c>
      <c r="AC91" s="501" t="s">
        <v>412</v>
      </c>
      <c r="AD91" s="501" t="s">
        <v>412</v>
      </c>
      <c r="AE91" s="504" t="s">
        <v>412</v>
      </c>
      <c r="AF91" s="505" t="s">
        <v>585</v>
      </c>
      <c r="AG91" s="498" t="s">
        <v>810</v>
      </c>
      <c r="AH91" s="499" t="s">
        <v>587</v>
      </c>
    </row>
    <row r="92" spans="1:34" ht="36">
      <c r="A92" s="1376"/>
      <c r="B92" s="167"/>
      <c r="C92" s="170" t="s">
        <v>341</v>
      </c>
      <c r="D92" s="126" t="s">
        <v>595</v>
      </c>
      <c r="E92" s="56"/>
      <c r="F92" s="56"/>
      <c r="G92" s="56"/>
      <c r="H92" s="304"/>
      <c r="I92" s="925" t="s">
        <v>962</v>
      </c>
      <c r="J92" s="183"/>
      <c r="K92" s="171" t="s">
        <v>505</v>
      </c>
      <c r="L92" s="1125"/>
      <c r="M92" s="58"/>
      <c r="N92" s="109" t="str">
        <f t="shared" si="46"/>
        <v/>
      </c>
      <c r="O92" s="797"/>
      <c r="P92" s="798"/>
      <c r="Q92" s="165"/>
      <c r="R92" s="257"/>
      <c r="T92" s="466" t="s">
        <v>833</v>
      </c>
      <c r="U92" s="777" t="s">
        <v>1010</v>
      </c>
      <c r="W92" s="500"/>
      <c r="X92" s="501"/>
      <c r="Y92" s="501"/>
      <c r="Z92" s="502"/>
      <c r="AA92" s="503"/>
      <c r="AB92" s="501"/>
      <c r="AC92" s="501"/>
      <c r="AD92" s="501"/>
      <c r="AE92" s="504"/>
      <c r="AF92" s="505"/>
      <c r="AG92" s="498"/>
      <c r="AH92" s="499"/>
    </row>
    <row r="93" spans="1:34">
      <c r="A93" s="1377"/>
      <c r="B93" s="65"/>
      <c r="C93" s="81"/>
      <c r="D93" s="120"/>
      <c r="E93" s="67"/>
      <c r="F93" s="67"/>
      <c r="G93" s="67"/>
      <c r="H93" s="66"/>
      <c r="I93" s="926">
        <f>SUM(I90:I92)</f>
        <v>47656</v>
      </c>
      <c r="J93" s="358"/>
      <c r="K93" s="111"/>
      <c r="L93" s="440">
        <f>SUM(L90:L92)</f>
        <v>103</v>
      </c>
      <c r="M93" s="443">
        <f>SUM(M90:M92)</f>
        <v>113</v>
      </c>
      <c r="N93" s="444">
        <f>IFERROR(AVERAGE(N90:N92),"")</f>
        <v>1</v>
      </c>
      <c r="O93" s="797"/>
      <c r="P93" s="798"/>
      <c r="Q93" s="352">
        <f>SUM(Q90:Q92)</f>
        <v>0</v>
      </c>
      <c r="R93" s="70">
        <f>SUM(R90:R92)</f>
        <v>0</v>
      </c>
      <c r="T93" s="804"/>
      <c r="U93" s="805"/>
      <c r="W93" s="478"/>
      <c r="X93" s="67"/>
      <c r="Y93" s="67"/>
      <c r="Z93" s="67"/>
      <c r="AA93" s="67"/>
      <c r="AB93" s="67"/>
      <c r="AC93" s="67"/>
      <c r="AD93" s="67"/>
      <c r="AE93" s="67"/>
      <c r="AF93" s="67"/>
      <c r="AG93" s="67"/>
      <c r="AH93" s="467"/>
    </row>
    <row r="94" spans="1:34" ht="30.65" customHeight="1">
      <c r="A94" s="1301" t="s">
        <v>342</v>
      </c>
      <c r="B94" s="167"/>
      <c r="C94" s="170" t="s">
        <v>343</v>
      </c>
      <c r="D94" s="176" t="s">
        <v>582</v>
      </c>
      <c r="E94" s="56"/>
      <c r="F94" s="56"/>
      <c r="G94" s="56"/>
      <c r="H94" s="304"/>
      <c r="I94" s="925" t="s">
        <v>962</v>
      </c>
      <c r="J94" s="182"/>
      <c r="K94" s="171" t="s">
        <v>502</v>
      </c>
      <c r="L94" s="1125"/>
      <c r="M94" s="58"/>
      <c r="N94" s="109" t="str">
        <f t="shared" ref="N94:N97" si="47">IF(L94,MIN(1,M94/L94),"")</f>
        <v/>
      </c>
      <c r="O94" s="797"/>
      <c r="P94" s="798"/>
      <c r="Q94" s="165"/>
      <c r="R94" s="257"/>
      <c r="T94" s="466" t="s">
        <v>836</v>
      </c>
      <c r="U94" s="776" t="s">
        <v>967</v>
      </c>
      <c r="W94" s="500"/>
      <c r="X94" s="501"/>
      <c r="Y94" s="501"/>
      <c r="Z94" s="502"/>
      <c r="AA94" s="503"/>
      <c r="AB94" s="501"/>
      <c r="AC94" s="501"/>
      <c r="AD94" s="501"/>
      <c r="AE94" s="504"/>
      <c r="AF94" s="505"/>
      <c r="AG94" s="498"/>
      <c r="AH94" s="499"/>
    </row>
    <row r="95" spans="1:34" ht="31.5">
      <c r="A95" s="1376"/>
      <c r="B95" s="167">
        <v>48</v>
      </c>
      <c r="C95" s="170" t="s">
        <v>344</v>
      </c>
      <c r="D95" s="177" t="s">
        <v>588</v>
      </c>
      <c r="E95" s="56"/>
      <c r="F95" s="408"/>
      <c r="G95" s="408"/>
      <c r="H95" s="408"/>
      <c r="I95" s="925">
        <v>8672</v>
      </c>
      <c r="J95" s="183"/>
      <c r="K95" s="171" t="s">
        <v>719</v>
      </c>
      <c r="L95" s="1125">
        <v>3</v>
      </c>
      <c r="M95" s="58">
        <v>0</v>
      </c>
      <c r="N95" s="109">
        <f t="shared" si="47"/>
        <v>0</v>
      </c>
      <c r="O95" s="797"/>
      <c r="P95" s="798"/>
      <c r="Q95" s="165"/>
      <c r="R95" s="257"/>
      <c r="T95" s="466" t="s">
        <v>839</v>
      </c>
      <c r="U95" s="777" t="s">
        <v>840</v>
      </c>
      <c r="W95" s="500" t="s">
        <v>412</v>
      </c>
      <c r="X95" s="501" t="s">
        <v>412</v>
      </c>
      <c r="Y95" s="501" t="s">
        <v>412</v>
      </c>
      <c r="Z95" s="502" t="s">
        <v>412</v>
      </c>
      <c r="AA95" s="503" t="s">
        <v>841</v>
      </c>
      <c r="AB95" s="501" t="s">
        <v>412</v>
      </c>
      <c r="AC95" s="501" t="s">
        <v>412</v>
      </c>
      <c r="AD95" s="501" t="s">
        <v>412</v>
      </c>
      <c r="AE95" s="504" t="s">
        <v>412</v>
      </c>
      <c r="AF95" s="505" t="s">
        <v>585</v>
      </c>
      <c r="AG95" s="498" t="s">
        <v>842</v>
      </c>
      <c r="AH95" s="499" t="s">
        <v>587</v>
      </c>
    </row>
    <row r="96" spans="1:34" ht="30.65" customHeight="1">
      <c r="A96" s="1376"/>
      <c r="B96" s="167">
        <f t="shared" ref="B96:B97" si="48">B95+1</f>
        <v>49</v>
      </c>
      <c r="C96" s="170" t="s">
        <v>345</v>
      </c>
      <c r="D96" s="126" t="s">
        <v>588</v>
      </c>
      <c r="E96" s="56"/>
      <c r="F96" s="408"/>
      <c r="G96" s="408"/>
      <c r="H96" s="408"/>
      <c r="I96" s="925">
        <v>6250</v>
      </c>
      <c r="J96" s="183"/>
      <c r="K96" s="171" t="s">
        <v>843</v>
      </c>
      <c r="L96" s="1125">
        <v>4</v>
      </c>
      <c r="M96" s="58">
        <v>1</v>
      </c>
      <c r="N96" s="109">
        <f t="shared" si="47"/>
        <v>0.25</v>
      </c>
      <c r="O96" s="797"/>
      <c r="P96" s="798"/>
      <c r="Q96" s="165"/>
      <c r="R96" s="257"/>
      <c r="T96" s="466" t="s">
        <v>844</v>
      </c>
      <c r="U96" s="777" t="s">
        <v>845</v>
      </c>
      <c r="W96" s="500" t="s">
        <v>412</v>
      </c>
      <c r="X96" s="501" t="s">
        <v>412</v>
      </c>
      <c r="Y96" s="501" t="s">
        <v>412</v>
      </c>
      <c r="Z96" s="502" t="s">
        <v>412</v>
      </c>
      <c r="AA96" s="503" t="s">
        <v>412</v>
      </c>
      <c r="AB96" s="501" t="s">
        <v>412</v>
      </c>
      <c r="AC96" s="501" t="s">
        <v>412</v>
      </c>
      <c r="AD96" s="501" t="s">
        <v>412</v>
      </c>
      <c r="AE96" s="504" t="s">
        <v>412</v>
      </c>
      <c r="AF96" s="505" t="s">
        <v>585</v>
      </c>
      <c r="AG96" s="498" t="s">
        <v>1011</v>
      </c>
      <c r="AH96" s="499" t="s">
        <v>587</v>
      </c>
    </row>
    <row r="97" spans="1:34" ht="30.65" customHeight="1">
      <c r="A97" s="1376"/>
      <c r="B97" s="167">
        <f t="shared" si="48"/>
        <v>50</v>
      </c>
      <c r="C97" s="170" t="s">
        <v>346</v>
      </c>
      <c r="D97" s="127" t="s">
        <v>595</v>
      </c>
      <c r="E97" s="408"/>
      <c r="F97" s="408"/>
      <c r="G97" s="408"/>
      <c r="H97" s="408"/>
      <c r="I97" s="925">
        <v>3094</v>
      </c>
      <c r="J97" s="184"/>
      <c r="K97" s="171" t="s">
        <v>608</v>
      </c>
      <c r="L97" s="1125">
        <v>12</v>
      </c>
      <c r="M97" s="58">
        <v>12</v>
      </c>
      <c r="N97" s="109">
        <f t="shared" si="47"/>
        <v>1</v>
      </c>
      <c r="O97" s="797"/>
      <c r="P97" s="798"/>
      <c r="Q97" s="165"/>
      <c r="R97" s="257"/>
      <c r="T97" s="466" t="s">
        <v>846</v>
      </c>
      <c r="U97" s="777" t="s">
        <v>847</v>
      </c>
      <c r="W97" s="500" t="s">
        <v>412</v>
      </c>
      <c r="X97" s="501" t="s">
        <v>412</v>
      </c>
      <c r="Y97" s="501" t="s">
        <v>412</v>
      </c>
      <c r="Z97" s="502" t="s">
        <v>412</v>
      </c>
      <c r="AA97" s="503" t="s">
        <v>412</v>
      </c>
      <c r="AB97" s="501" t="s">
        <v>412</v>
      </c>
      <c r="AC97" s="501" t="s">
        <v>412</v>
      </c>
      <c r="AD97" s="501" t="s">
        <v>412</v>
      </c>
      <c r="AE97" s="504" t="s">
        <v>412</v>
      </c>
      <c r="AF97" s="505" t="s">
        <v>585</v>
      </c>
      <c r="AG97" s="498" t="s">
        <v>1011</v>
      </c>
      <c r="AH97" s="499" t="s">
        <v>587</v>
      </c>
    </row>
    <row r="98" spans="1:34">
      <c r="A98" s="1386"/>
      <c r="B98" s="65"/>
      <c r="C98" s="81"/>
      <c r="D98" s="120"/>
      <c r="E98" s="67"/>
      <c r="F98" s="67"/>
      <c r="G98" s="67"/>
      <c r="H98" s="66"/>
      <c r="I98" s="926">
        <f t="shared" ref="I98" si="49">SUM(I94:I97)</f>
        <v>18016</v>
      </c>
      <c r="J98" s="358"/>
      <c r="K98" s="442"/>
      <c r="L98" s="440">
        <f>SUM(L94:L97)</f>
        <v>19</v>
      </c>
      <c r="M98" s="443">
        <f>SUM(M94:M97)</f>
        <v>13</v>
      </c>
      <c r="N98" s="444">
        <f>IFERROR(AVERAGE(N94:N97),"")</f>
        <v>0.41666666666666669</v>
      </c>
      <c r="O98" s="444">
        <f>IFERROR(AVERAGE(N90:N92,N94:N97),"")</f>
        <v>0.65</v>
      </c>
      <c r="P98" s="444">
        <f>IFERROR(AVERAGE(N49:N55,N57:N62,N64:N70,N73:N76,N78:N82,N84:N87,N90:N92,N94:N97),"")</f>
        <v>0.68667230205691743</v>
      </c>
      <c r="Q98" s="352">
        <f>SUM(Q94:Q97)</f>
        <v>0</v>
      </c>
      <c r="R98" s="70">
        <f>SUM(R94:R97)</f>
        <v>0</v>
      </c>
      <c r="T98" s="68"/>
      <c r="U98" s="469"/>
      <c r="W98" s="478"/>
      <c r="X98" s="67"/>
      <c r="Y98" s="67"/>
      <c r="Z98" s="67"/>
      <c r="AA98" s="67"/>
      <c r="AB98" s="67"/>
      <c r="AC98" s="67"/>
      <c r="AD98" s="67"/>
      <c r="AE98" s="67"/>
      <c r="AF98" s="67"/>
      <c r="AG98" s="67"/>
      <c r="AH98" s="467"/>
    </row>
    <row r="99" spans="1:34" ht="35.25" customHeight="1">
      <c r="A99" s="1393" t="s">
        <v>205</v>
      </c>
      <c r="B99" s="1394"/>
      <c r="C99" s="1394"/>
      <c r="D99" s="1394"/>
      <c r="E99" s="1394"/>
      <c r="F99" s="1394"/>
      <c r="G99" s="1394"/>
      <c r="H99" s="1400"/>
      <c r="I99" s="928">
        <f>I100+I111+I122</f>
        <v>227714</v>
      </c>
      <c r="J99" s="342"/>
      <c r="K99" s="343"/>
      <c r="L99" s="344"/>
      <c r="M99" s="345"/>
      <c r="N99" s="346"/>
      <c r="O99" s="346"/>
      <c r="P99" s="347"/>
      <c r="Q99" s="350">
        <f t="shared" ref="Q99:R99" si="50">Q100+Q111+Q122</f>
        <v>0</v>
      </c>
      <c r="R99" s="348">
        <f t="shared" si="50"/>
        <v>0</v>
      </c>
      <c r="T99" s="462" t="s">
        <v>205</v>
      </c>
      <c r="U99" s="463"/>
      <c r="W99" s="474" t="s">
        <v>205</v>
      </c>
      <c r="X99" s="475"/>
      <c r="Y99" s="475"/>
      <c r="Z99" s="475"/>
      <c r="AA99" s="475"/>
      <c r="AB99" s="475"/>
      <c r="AC99" s="475"/>
      <c r="AD99" s="475"/>
      <c r="AE99" s="475"/>
      <c r="AF99" s="475"/>
      <c r="AG99" s="475"/>
      <c r="AH99" s="476"/>
    </row>
    <row r="100" spans="1:34" ht="46.5" customHeight="1">
      <c r="A100" s="1387" t="s">
        <v>347</v>
      </c>
      <c r="B100" s="1388"/>
      <c r="C100" s="1388"/>
      <c r="D100" s="1392"/>
      <c r="E100" s="363" t="s">
        <v>248</v>
      </c>
      <c r="F100" s="364" t="s">
        <v>249</v>
      </c>
      <c r="G100" s="364" t="s">
        <v>250</v>
      </c>
      <c r="H100" s="365" t="s">
        <v>251</v>
      </c>
      <c r="I100" s="927">
        <f t="shared" ref="I100" si="51">I104+I110</f>
        <v>140234</v>
      </c>
      <c r="J100" s="366"/>
      <c r="K100" s="367"/>
      <c r="L100" s="368"/>
      <c r="M100" s="369"/>
      <c r="N100" s="370"/>
      <c r="O100" s="371"/>
      <c r="P100" s="372"/>
      <c r="Q100" s="373">
        <f t="shared" ref="Q100:R100" si="52">Q104+Q110</f>
        <v>0</v>
      </c>
      <c r="R100" s="374">
        <f t="shared" si="52"/>
        <v>0</v>
      </c>
      <c r="T100" s="464" t="s">
        <v>848</v>
      </c>
      <c r="U100" s="465"/>
      <c r="W100" s="464" t="s">
        <v>848</v>
      </c>
      <c r="X100" s="458"/>
      <c r="Y100" s="458"/>
      <c r="Z100" s="458"/>
      <c r="AA100" s="458"/>
      <c r="AB100" s="458"/>
      <c r="AC100" s="458"/>
      <c r="AD100" s="458"/>
      <c r="AE100" s="458"/>
      <c r="AF100" s="458"/>
      <c r="AG100" s="458"/>
      <c r="AH100" s="465"/>
    </row>
    <row r="101" spans="1:34" ht="30.65" customHeight="1">
      <c r="A101" s="1301" t="s">
        <v>348</v>
      </c>
      <c r="B101" s="167">
        <f>B97+1</f>
        <v>51</v>
      </c>
      <c r="C101" s="170" t="s">
        <v>349</v>
      </c>
      <c r="D101" s="176" t="s">
        <v>582</v>
      </c>
      <c r="E101" s="56"/>
      <c r="F101" s="408"/>
      <c r="G101" s="408"/>
      <c r="H101" s="408"/>
      <c r="I101" s="925">
        <v>14844</v>
      </c>
      <c r="J101" s="182"/>
      <c r="K101" s="171" t="s">
        <v>849</v>
      </c>
      <c r="L101" s="1125">
        <v>41</v>
      </c>
      <c r="M101" s="58">
        <v>25</v>
      </c>
      <c r="N101" s="108">
        <f t="shared" ref="N101:N103" si="53">IF(L101,MIN(1,M101/L101),"")</f>
        <v>0.6097560975609756</v>
      </c>
      <c r="O101" s="1336"/>
      <c r="P101" s="1342"/>
      <c r="Q101" s="165"/>
      <c r="R101" s="257"/>
      <c r="T101" s="466" t="s">
        <v>850</v>
      </c>
      <c r="U101" s="776" t="s">
        <v>1012</v>
      </c>
      <c r="W101" s="500" t="s">
        <v>412</v>
      </c>
      <c r="X101" s="501" t="s">
        <v>412</v>
      </c>
      <c r="Y101" s="501" t="s">
        <v>412</v>
      </c>
      <c r="Z101" s="502" t="s">
        <v>412</v>
      </c>
      <c r="AA101" s="503" t="s">
        <v>412</v>
      </c>
      <c r="AB101" s="501" t="s">
        <v>412</v>
      </c>
      <c r="AC101" s="501" t="s">
        <v>852</v>
      </c>
      <c r="AD101" s="501" t="s">
        <v>412</v>
      </c>
      <c r="AE101" s="504" t="s">
        <v>1013</v>
      </c>
      <c r="AF101" s="505" t="s">
        <v>585</v>
      </c>
      <c r="AG101" s="498" t="s">
        <v>649</v>
      </c>
      <c r="AH101" s="499" t="s">
        <v>587</v>
      </c>
    </row>
    <row r="102" spans="1:34" ht="30.65" customHeight="1">
      <c r="A102" s="1310"/>
      <c r="B102" s="167">
        <f>B101+1</f>
        <v>52</v>
      </c>
      <c r="C102" s="170" t="s">
        <v>350</v>
      </c>
      <c r="D102" s="177" t="s">
        <v>582</v>
      </c>
      <c r="E102" s="56"/>
      <c r="F102" s="408"/>
      <c r="G102" s="408"/>
      <c r="H102" s="408"/>
      <c r="I102" s="925">
        <v>5469</v>
      </c>
      <c r="J102" s="183"/>
      <c r="K102" s="171" t="s">
        <v>843</v>
      </c>
      <c r="L102" s="1125">
        <v>2</v>
      </c>
      <c r="M102" s="58">
        <v>0</v>
      </c>
      <c r="N102" s="108">
        <f t="shared" si="53"/>
        <v>0</v>
      </c>
      <c r="O102" s="1337"/>
      <c r="P102" s="1343"/>
      <c r="Q102" s="165"/>
      <c r="R102" s="257"/>
      <c r="T102" s="466" t="s">
        <v>854</v>
      </c>
      <c r="U102" s="777" t="s">
        <v>855</v>
      </c>
      <c r="W102" s="500" t="s">
        <v>412</v>
      </c>
      <c r="X102" s="501" t="s">
        <v>412</v>
      </c>
      <c r="Y102" s="501" t="s">
        <v>412</v>
      </c>
      <c r="Z102" s="502" t="s">
        <v>412</v>
      </c>
      <c r="AA102" s="503" t="s">
        <v>412</v>
      </c>
      <c r="AB102" s="501" t="s">
        <v>412</v>
      </c>
      <c r="AC102" s="501" t="s">
        <v>412</v>
      </c>
      <c r="AD102" s="501" t="s">
        <v>412</v>
      </c>
      <c r="AE102" s="504" t="s">
        <v>412</v>
      </c>
      <c r="AF102" s="505" t="s">
        <v>746</v>
      </c>
      <c r="AG102" s="498" t="s">
        <v>649</v>
      </c>
      <c r="AH102" s="499" t="s">
        <v>587</v>
      </c>
    </row>
    <row r="103" spans="1:34" ht="36">
      <c r="A103" s="1310"/>
      <c r="B103" s="167">
        <f>B102+1</f>
        <v>53</v>
      </c>
      <c r="C103" s="170" t="s">
        <v>1014</v>
      </c>
      <c r="D103" s="178" t="s">
        <v>78</v>
      </c>
      <c r="E103" s="408"/>
      <c r="F103" s="408"/>
      <c r="G103" s="408"/>
      <c r="H103" s="408"/>
      <c r="I103" s="925">
        <v>781</v>
      </c>
      <c r="J103" s="184"/>
      <c r="K103" s="171" t="s">
        <v>857</v>
      </c>
      <c r="L103" s="1125">
        <v>1</v>
      </c>
      <c r="M103" s="58">
        <v>0</v>
      </c>
      <c r="N103" s="108">
        <f t="shared" si="53"/>
        <v>0</v>
      </c>
      <c r="O103" s="1337"/>
      <c r="P103" s="1343"/>
      <c r="Q103" s="165"/>
      <c r="R103" s="257"/>
      <c r="T103" s="466" t="s">
        <v>858</v>
      </c>
      <c r="U103" s="777" t="s">
        <v>1015</v>
      </c>
      <c r="W103" s="500" t="s">
        <v>412</v>
      </c>
      <c r="X103" s="501" t="s">
        <v>412</v>
      </c>
      <c r="Y103" s="501" t="s">
        <v>412</v>
      </c>
      <c r="Z103" s="502" t="s">
        <v>412</v>
      </c>
      <c r="AA103" s="503" t="s">
        <v>412</v>
      </c>
      <c r="AB103" s="501" t="s">
        <v>412</v>
      </c>
      <c r="AC103" s="501" t="s">
        <v>412</v>
      </c>
      <c r="AD103" s="501" t="s">
        <v>412</v>
      </c>
      <c r="AE103" s="504" t="s">
        <v>412</v>
      </c>
      <c r="AF103" s="505" t="s">
        <v>585</v>
      </c>
      <c r="AG103" s="498" t="s">
        <v>860</v>
      </c>
      <c r="AH103" s="499" t="s">
        <v>587</v>
      </c>
    </row>
    <row r="104" spans="1:34">
      <c r="A104" s="1355"/>
      <c r="B104" s="65"/>
      <c r="C104" s="81"/>
      <c r="D104" s="120"/>
      <c r="E104" s="67"/>
      <c r="F104" s="67"/>
      <c r="G104" s="67"/>
      <c r="H104" s="66"/>
      <c r="I104" s="926">
        <f t="shared" ref="I104" si="54">SUM(I101:I103)</f>
        <v>21094</v>
      </c>
      <c r="J104" s="358"/>
      <c r="K104" s="442"/>
      <c r="L104" s="440">
        <f>SUM(L101:L103)</f>
        <v>44</v>
      </c>
      <c r="M104" s="443">
        <f>SUM(M101:M103)</f>
        <v>25</v>
      </c>
      <c r="N104" s="444">
        <f>IFERROR(AVERAGE(N101:N103),"")</f>
        <v>0.2032520325203252</v>
      </c>
      <c r="O104" s="1337"/>
      <c r="P104" s="1343"/>
      <c r="Q104" s="352">
        <f>SUM(Q101:Q103)</f>
        <v>0</v>
      </c>
      <c r="R104" s="70">
        <f>SUM(R101:R103)</f>
        <v>0</v>
      </c>
      <c r="T104" s="68"/>
      <c r="U104" s="469"/>
      <c r="W104" s="478"/>
      <c r="X104" s="67"/>
      <c r="Y104" s="67"/>
      <c r="Z104" s="67"/>
      <c r="AA104" s="67"/>
      <c r="AB104" s="67"/>
      <c r="AC104" s="67"/>
      <c r="AD104" s="67"/>
      <c r="AE104" s="67"/>
      <c r="AF104" s="67"/>
      <c r="AG104" s="67"/>
      <c r="AH104" s="467"/>
    </row>
    <row r="105" spans="1:34" ht="31.5" customHeight="1">
      <c r="A105" s="1301" t="s">
        <v>352</v>
      </c>
      <c r="B105" s="167">
        <f>B103+1</f>
        <v>54</v>
      </c>
      <c r="C105" s="170" t="s">
        <v>353</v>
      </c>
      <c r="D105" s="176" t="s">
        <v>595</v>
      </c>
      <c r="E105" s="56"/>
      <c r="F105" s="408"/>
      <c r="G105" s="408"/>
      <c r="H105" s="408"/>
      <c r="I105" s="925">
        <v>62500</v>
      </c>
      <c r="J105" s="182"/>
      <c r="K105" s="171" t="s">
        <v>861</v>
      </c>
      <c r="L105" s="1125">
        <v>32</v>
      </c>
      <c r="M105" s="58">
        <v>44</v>
      </c>
      <c r="N105" s="108">
        <f t="shared" ref="N105:N109" si="55">IF(L105,MIN(1,M105/L105),"")</f>
        <v>1</v>
      </c>
      <c r="O105" s="1337"/>
      <c r="P105" s="1343"/>
      <c r="Q105" s="165"/>
      <c r="R105" s="257"/>
      <c r="T105" s="466" t="s">
        <v>862</v>
      </c>
      <c r="U105" s="776" t="s">
        <v>863</v>
      </c>
      <c r="W105" s="500" t="s">
        <v>412</v>
      </c>
      <c r="X105" s="501" t="s">
        <v>412</v>
      </c>
      <c r="Y105" s="501" t="s">
        <v>412</v>
      </c>
      <c r="Z105" s="502" t="s">
        <v>412</v>
      </c>
      <c r="AA105" s="503" t="s">
        <v>412</v>
      </c>
      <c r="AB105" s="501" t="s">
        <v>412</v>
      </c>
      <c r="AC105" s="501" t="s">
        <v>412</v>
      </c>
      <c r="AD105" s="501" t="s">
        <v>412</v>
      </c>
      <c r="AE105" s="504" t="s">
        <v>412</v>
      </c>
      <c r="AF105" s="505" t="s">
        <v>585</v>
      </c>
      <c r="AG105" s="498" t="s">
        <v>864</v>
      </c>
      <c r="AH105" s="499" t="s">
        <v>587</v>
      </c>
    </row>
    <row r="106" spans="1:34" ht="31.5" customHeight="1">
      <c r="A106" s="1302"/>
      <c r="B106" s="167">
        <f>B105+1</f>
        <v>55</v>
      </c>
      <c r="C106" s="170" t="s">
        <v>354</v>
      </c>
      <c r="D106" s="177" t="s">
        <v>78</v>
      </c>
      <c r="E106" s="408"/>
      <c r="F106" s="408"/>
      <c r="G106" s="408"/>
      <c r="H106" s="304"/>
      <c r="I106" s="925">
        <v>18750</v>
      </c>
      <c r="J106" s="183"/>
      <c r="K106" s="171" t="s">
        <v>865</v>
      </c>
      <c r="L106" s="1125">
        <v>12</v>
      </c>
      <c r="M106" s="58">
        <v>7</v>
      </c>
      <c r="N106" s="108">
        <f t="shared" si="55"/>
        <v>0.58333333333333337</v>
      </c>
      <c r="O106" s="1337"/>
      <c r="P106" s="1343"/>
      <c r="Q106" s="165"/>
      <c r="R106" s="257"/>
      <c r="T106" s="466" t="s">
        <v>866</v>
      </c>
      <c r="U106" s="777" t="s">
        <v>867</v>
      </c>
      <c r="W106" s="500" t="s">
        <v>412</v>
      </c>
      <c r="X106" s="501" t="s">
        <v>412</v>
      </c>
      <c r="Y106" s="501" t="s">
        <v>585</v>
      </c>
      <c r="Z106" s="502" t="s">
        <v>412</v>
      </c>
      <c r="AA106" s="503" t="s">
        <v>868</v>
      </c>
      <c r="AB106" s="501" t="s">
        <v>412</v>
      </c>
      <c r="AC106" s="501" t="s">
        <v>412</v>
      </c>
      <c r="AD106" s="501" t="s">
        <v>412</v>
      </c>
      <c r="AE106" s="504" t="s">
        <v>412</v>
      </c>
      <c r="AF106" s="505" t="s">
        <v>585</v>
      </c>
      <c r="AG106" s="498" t="s">
        <v>869</v>
      </c>
      <c r="AH106" s="499" t="s">
        <v>587</v>
      </c>
    </row>
    <row r="107" spans="1:34" ht="31.5" customHeight="1">
      <c r="A107" s="1302"/>
      <c r="B107" s="167">
        <f t="shared" ref="B107:B109" si="56">B106+1</f>
        <v>56</v>
      </c>
      <c r="C107" s="170" t="s">
        <v>355</v>
      </c>
      <c r="D107" s="177" t="s">
        <v>588</v>
      </c>
      <c r="E107" s="408"/>
      <c r="F107" s="408"/>
      <c r="G107" s="408"/>
      <c r="H107" s="408"/>
      <c r="I107" s="925">
        <v>16406</v>
      </c>
      <c r="J107" s="183"/>
      <c r="K107" s="171" t="s">
        <v>870</v>
      </c>
      <c r="L107" s="1125">
        <v>10</v>
      </c>
      <c r="M107" s="58">
        <v>11</v>
      </c>
      <c r="N107" s="108">
        <f t="shared" si="55"/>
        <v>1</v>
      </c>
      <c r="O107" s="1337"/>
      <c r="P107" s="1343"/>
      <c r="Q107" s="165"/>
      <c r="R107" s="257"/>
      <c r="T107" s="466" t="s">
        <v>871</v>
      </c>
      <c r="U107" s="777" t="s">
        <v>872</v>
      </c>
      <c r="W107" s="500" t="s">
        <v>412</v>
      </c>
      <c r="X107" s="501" t="s">
        <v>412</v>
      </c>
      <c r="Y107" s="501" t="s">
        <v>412</v>
      </c>
      <c r="Z107" s="502" t="s">
        <v>412</v>
      </c>
      <c r="AA107" s="503" t="s">
        <v>412</v>
      </c>
      <c r="AB107" s="501" t="s">
        <v>412</v>
      </c>
      <c r="AC107" s="501" t="s">
        <v>585</v>
      </c>
      <c r="AD107" s="501" t="s">
        <v>412</v>
      </c>
      <c r="AE107" s="504" t="s">
        <v>873</v>
      </c>
      <c r="AF107" s="505" t="s">
        <v>585</v>
      </c>
      <c r="AG107" s="498" t="s">
        <v>874</v>
      </c>
      <c r="AH107" s="499" t="s">
        <v>587</v>
      </c>
    </row>
    <row r="108" spans="1:34" ht="31.5" customHeight="1">
      <c r="A108" s="1310"/>
      <c r="B108" s="167">
        <f t="shared" si="56"/>
        <v>57</v>
      </c>
      <c r="C108" s="170" t="s">
        <v>356</v>
      </c>
      <c r="D108" s="177" t="s">
        <v>78</v>
      </c>
      <c r="E108" s="56"/>
      <c r="F108" s="408"/>
      <c r="G108" s="408"/>
      <c r="H108" s="408"/>
      <c r="I108" s="925">
        <v>5859</v>
      </c>
      <c r="J108" s="183"/>
      <c r="K108" s="171" t="s">
        <v>875</v>
      </c>
      <c r="L108" s="1125">
        <v>5</v>
      </c>
      <c r="M108" s="58">
        <v>5</v>
      </c>
      <c r="N108" s="108">
        <f t="shared" si="55"/>
        <v>1</v>
      </c>
      <c r="O108" s="1337"/>
      <c r="P108" s="1343"/>
      <c r="Q108" s="165"/>
      <c r="R108" s="257"/>
      <c r="T108" s="466" t="s">
        <v>876</v>
      </c>
      <c r="U108" s="777" t="s">
        <v>877</v>
      </c>
      <c r="W108" s="500" t="s">
        <v>412</v>
      </c>
      <c r="X108" s="501" t="s">
        <v>412</v>
      </c>
      <c r="Y108" s="501" t="s">
        <v>412</v>
      </c>
      <c r="Z108" s="502" t="s">
        <v>412</v>
      </c>
      <c r="AA108" s="503" t="s">
        <v>412</v>
      </c>
      <c r="AB108" s="501" t="s">
        <v>412</v>
      </c>
      <c r="AC108" s="501" t="s">
        <v>412</v>
      </c>
      <c r="AD108" s="501" t="s">
        <v>412</v>
      </c>
      <c r="AE108" s="504" t="s">
        <v>412</v>
      </c>
      <c r="AF108" s="505" t="s">
        <v>585</v>
      </c>
      <c r="AG108" s="498" t="s">
        <v>878</v>
      </c>
      <c r="AH108" s="499" t="s">
        <v>587</v>
      </c>
    </row>
    <row r="109" spans="1:34" ht="31.5" customHeight="1">
      <c r="A109" s="1310"/>
      <c r="B109" s="167">
        <f t="shared" si="56"/>
        <v>58</v>
      </c>
      <c r="C109" s="170" t="s">
        <v>357</v>
      </c>
      <c r="D109" s="178" t="s">
        <v>78</v>
      </c>
      <c r="E109" s="56"/>
      <c r="F109" s="408"/>
      <c r="G109" s="408"/>
      <c r="H109" s="408"/>
      <c r="I109" s="925">
        <v>15625</v>
      </c>
      <c r="J109" s="184"/>
      <c r="K109" s="171" t="s">
        <v>879</v>
      </c>
      <c r="L109" s="1125">
        <v>20</v>
      </c>
      <c r="M109" s="58">
        <v>12</v>
      </c>
      <c r="N109" s="108">
        <f t="shared" si="55"/>
        <v>0.6</v>
      </c>
      <c r="O109" s="1337"/>
      <c r="P109" s="1343"/>
      <c r="Q109" s="165"/>
      <c r="R109" s="257"/>
      <c r="T109" s="466" t="s">
        <v>880</v>
      </c>
      <c r="U109" s="777" t="s">
        <v>881</v>
      </c>
      <c r="W109" s="500" t="s">
        <v>412</v>
      </c>
      <c r="X109" s="501" t="s">
        <v>412</v>
      </c>
      <c r="Y109" s="501" t="s">
        <v>412</v>
      </c>
      <c r="Z109" s="502" t="s">
        <v>412</v>
      </c>
      <c r="AA109" s="503" t="s">
        <v>412</v>
      </c>
      <c r="AB109" s="501" t="s">
        <v>412</v>
      </c>
      <c r="AC109" s="501" t="s">
        <v>412</v>
      </c>
      <c r="AD109" s="501" t="s">
        <v>412</v>
      </c>
      <c r="AE109" s="504" t="s">
        <v>412</v>
      </c>
      <c r="AF109" s="505" t="s">
        <v>585</v>
      </c>
      <c r="AG109" s="498" t="s">
        <v>882</v>
      </c>
      <c r="AH109" s="499" t="s">
        <v>587</v>
      </c>
    </row>
    <row r="110" spans="1:34">
      <c r="A110" s="1355"/>
      <c r="B110" s="65"/>
      <c r="C110" s="81"/>
      <c r="D110" s="120"/>
      <c r="E110" s="67"/>
      <c r="F110" s="67"/>
      <c r="G110" s="67"/>
      <c r="H110" s="66"/>
      <c r="I110" s="926">
        <f t="shared" ref="I110" si="57">SUM(I105:I109)</f>
        <v>119140</v>
      </c>
      <c r="J110" s="358"/>
      <c r="K110" s="442"/>
      <c r="L110" s="440">
        <f>SUM(L105:L109)</f>
        <v>79</v>
      </c>
      <c r="M110" s="443">
        <f>SUM(M105:M109)</f>
        <v>79</v>
      </c>
      <c r="N110" s="444">
        <f>IFERROR(AVERAGE(N105:N109),"")</f>
        <v>0.83666666666666667</v>
      </c>
      <c r="O110" s="444">
        <f>IFERROR(AVERAGE(N101:N103,N105:N109),"")</f>
        <v>0.5991361788617886</v>
      </c>
      <c r="P110" s="1343"/>
      <c r="Q110" s="352">
        <f>SUM(Q105:Q109)</f>
        <v>0</v>
      </c>
      <c r="R110" s="70">
        <f>SUM(R105:R109)</f>
        <v>0</v>
      </c>
      <c r="T110" s="68"/>
      <c r="U110" s="469"/>
      <c r="W110" s="478"/>
      <c r="X110" s="67"/>
      <c r="Y110" s="67"/>
      <c r="Z110" s="67"/>
      <c r="AA110" s="67"/>
      <c r="AB110" s="67"/>
      <c r="AC110" s="67"/>
      <c r="AD110" s="67"/>
      <c r="AE110" s="67"/>
      <c r="AF110" s="67"/>
      <c r="AG110" s="67"/>
      <c r="AH110" s="467"/>
    </row>
    <row r="111" spans="1:34" ht="65.25" customHeight="1">
      <c r="A111" s="1389" t="s">
        <v>358</v>
      </c>
      <c r="B111" s="1390"/>
      <c r="C111" s="1390"/>
      <c r="D111" s="1391"/>
      <c r="E111" s="363" t="s">
        <v>248</v>
      </c>
      <c r="F111" s="364" t="s">
        <v>249</v>
      </c>
      <c r="G111" s="364" t="s">
        <v>250</v>
      </c>
      <c r="H111" s="365" t="s">
        <v>251</v>
      </c>
      <c r="I111" s="927">
        <f t="shared" ref="I111" si="58">I121</f>
        <v>45339</v>
      </c>
      <c r="J111" s="366"/>
      <c r="K111" s="367"/>
      <c r="L111" s="368"/>
      <c r="M111" s="369"/>
      <c r="N111" s="370"/>
      <c r="O111" s="371"/>
      <c r="P111" s="1343"/>
      <c r="Q111" s="373">
        <f t="shared" ref="Q111:R111" si="59">Q121</f>
        <v>0</v>
      </c>
      <c r="R111" s="374">
        <f t="shared" si="59"/>
        <v>0</v>
      </c>
      <c r="T111" s="464" t="s">
        <v>883</v>
      </c>
      <c r="U111" s="465"/>
      <c r="W111" s="464" t="s">
        <v>884</v>
      </c>
      <c r="X111" s="458"/>
      <c r="Y111" s="458"/>
      <c r="Z111" s="458"/>
      <c r="AA111" s="458"/>
      <c r="AB111" s="458"/>
      <c r="AC111" s="458"/>
      <c r="AD111" s="458"/>
      <c r="AE111" s="458"/>
      <c r="AF111" s="458"/>
      <c r="AG111" s="458"/>
      <c r="AH111" s="465"/>
    </row>
    <row r="112" spans="1:34" ht="30.65" customHeight="1">
      <c r="A112" s="1301" t="s">
        <v>359</v>
      </c>
      <c r="B112" s="167"/>
      <c r="C112" s="170" t="s">
        <v>1016</v>
      </c>
      <c r="D112" s="177"/>
      <c r="E112" s="56"/>
      <c r="F112" s="56"/>
      <c r="G112" s="56"/>
      <c r="H112" s="304"/>
      <c r="I112" s="925" t="s">
        <v>962</v>
      </c>
      <c r="J112" s="183"/>
      <c r="K112" s="171"/>
      <c r="L112" s="1125"/>
      <c r="M112" s="58"/>
      <c r="N112" s="108" t="str">
        <f t="shared" ref="N112:N120" si="60">IF(L112,MIN(1,M112/L112),"")</f>
        <v/>
      </c>
      <c r="O112" s="1381"/>
      <c r="P112" s="1343"/>
      <c r="Q112" s="165"/>
      <c r="R112" s="257"/>
      <c r="T112" s="466" t="s">
        <v>885</v>
      </c>
      <c r="U112" s="497"/>
      <c r="W112" s="500"/>
      <c r="X112" s="501"/>
      <c r="Y112" s="501"/>
      <c r="Z112" s="502"/>
      <c r="AA112" s="503"/>
      <c r="AB112" s="501"/>
      <c r="AC112" s="501"/>
      <c r="AD112" s="501"/>
      <c r="AE112" s="504"/>
      <c r="AF112" s="505"/>
      <c r="AG112" s="498"/>
      <c r="AH112" s="499"/>
    </row>
    <row r="113" spans="1:34" ht="30.65" customHeight="1">
      <c r="A113" s="1376"/>
      <c r="B113" s="167">
        <v>59</v>
      </c>
      <c r="C113" s="170" t="s">
        <v>361</v>
      </c>
      <c r="D113" s="177" t="s">
        <v>78</v>
      </c>
      <c r="E113" s="408"/>
      <c r="F113" s="408"/>
      <c r="G113" s="408"/>
      <c r="H113" s="408"/>
      <c r="I113" s="925">
        <v>2344</v>
      </c>
      <c r="J113" s="183"/>
      <c r="K113" s="171" t="s">
        <v>592</v>
      </c>
      <c r="L113" s="1125">
        <v>5</v>
      </c>
      <c r="M113" s="58">
        <v>3</v>
      </c>
      <c r="N113" s="108">
        <f t="shared" si="60"/>
        <v>0.6</v>
      </c>
      <c r="O113" s="1343"/>
      <c r="P113" s="1343"/>
      <c r="Q113" s="165"/>
      <c r="R113" s="257"/>
      <c r="T113" s="466" t="s">
        <v>886</v>
      </c>
      <c r="U113" s="497" t="s">
        <v>1017</v>
      </c>
      <c r="W113" s="500" t="s">
        <v>412</v>
      </c>
      <c r="X113" s="501" t="s">
        <v>412</v>
      </c>
      <c r="Y113" s="501" t="s">
        <v>412</v>
      </c>
      <c r="Z113" s="502" t="s">
        <v>412</v>
      </c>
      <c r="AA113" s="503" t="s">
        <v>412</v>
      </c>
      <c r="AB113" s="501" t="s">
        <v>412</v>
      </c>
      <c r="AC113" s="501" t="s">
        <v>412</v>
      </c>
      <c r="AD113" s="501" t="s">
        <v>412</v>
      </c>
      <c r="AE113" s="504" t="s">
        <v>412</v>
      </c>
      <c r="AF113" s="505" t="s">
        <v>585</v>
      </c>
      <c r="AG113" s="498" t="s">
        <v>888</v>
      </c>
      <c r="AH113" s="499" t="s">
        <v>587</v>
      </c>
    </row>
    <row r="114" spans="1:34" ht="30.65" customHeight="1">
      <c r="A114" s="1376"/>
      <c r="B114" s="167">
        <f t="shared" ref="B114:B118" si="61">B113+1</f>
        <v>60</v>
      </c>
      <c r="C114" s="170" t="s">
        <v>362</v>
      </c>
      <c r="D114" s="177" t="s">
        <v>595</v>
      </c>
      <c r="E114" s="408"/>
      <c r="F114" s="408"/>
      <c r="G114" s="408"/>
      <c r="H114" s="408"/>
      <c r="I114" s="925">
        <v>13281</v>
      </c>
      <c r="J114" s="183"/>
      <c r="K114" s="171" t="s">
        <v>483</v>
      </c>
      <c r="L114" s="1125">
        <v>7</v>
      </c>
      <c r="M114" s="58">
        <v>12</v>
      </c>
      <c r="N114" s="108">
        <f t="shared" si="60"/>
        <v>1</v>
      </c>
      <c r="O114" s="1343"/>
      <c r="P114" s="1343"/>
      <c r="Q114" s="165"/>
      <c r="R114" s="257"/>
      <c r="T114" s="466" t="s">
        <v>889</v>
      </c>
      <c r="U114" s="497" t="s">
        <v>890</v>
      </c>
      <c r="W114" s="500" t="s">
        <v>412</v>
      </c>
      <c r="X114" s="501" t="s">
        <v>412</v>
      </c>
      <c r="Y114" s="501" t="s">
        <v>412</v>
      </c>
      <c r="Z114" s="502" t="s">
        <v>412</v>
      </c>
      <c r="AA114" s="503" t="s">
        <v>412</v>
      </c>
      <c r="AB114" s="501" t="s">
        <v>412</v>
      </c>
      <c r="AC114" s="501" t="s">
        <v>412</v>
      </c>
      <c r="AD114" s="501" t="s">
        <v>412</v>
      </c>
      <c r="AE114" s="504" t="s">
        <v>412</v>
      </c>
      <c r="AF114" s="505" t="s">
        <v>585</v>
      </c>
      <c r="AG114" s="498" t="s">
        <v>888</v>
      </c>
      <c r="AH114" s="499" t="s">
        <v>587</v>
      </c>
    </row>
    <row r="115" spans="1:34" ht="30.65" customHeight="1">
      <c r="A115" s="1376"/>
      <c r="B115" s="167">
        <f t="shared" si="61"/>
        <v>61</v>
      </c>
      <c r="C115" s="170" t="s">
        <v>363</v>
      </c>
      <c r="D115" s="177" t="s">
        <v>595</v>
      </c>
      <c r="E115" s="56"/>
      <c r="F115" s="408"/>
      <c r="G115" s="56"/>
      <c r="H115" s="408"/>
      <c r="I115" s="925">
        <v>9375</v>
      </c>
      <c r="J115" s="183"/>
      <c r="K115" s="171" t="s">
        <v>534</v>
      </c>
      <c r="L115" s="1125">
        <v>6</v>
      </c>
      <c r="M115" s="58">
        <v>6</v>
      </c>
      <c r="N115" s="108">
        <f t="shared" si="60"/>
        <v>1</v>
      </c>
      <c r="O115" s="1343"/>
      <c r="P115" s="1343"/>
      <c r="Q115" s="165"/>
      <c r="R115" s="257"/>
      <c r="T115" s="466" t="s">
        <v>891</v>
      </c>
      <c r="U115" s="497" t="s">
        <v>1018</v>
      </c>
      <c r="W115" s="500" t="s">
        <v>412</v>
      </c>
      <c r="X115" s="501" t="s">
        <v>412</v>
      </c>
      <c r="Y115" s="501" t="s">
        <v>412</v>
      </c>
      <c r="Z115" s="502" t="s">
        <v>412</v>
      </c>
      <c r="AA115" s="503" t="s">
        <v>412</v>
      </c>
      <c r="AB115" s="501" t="s">
        <v>412</v>
      </c>
      <c r="AC115" s="501" t="s">
        <v>893</v>
      </c>
      <c r="AD115" s="501" t="s">
        <v>412</v>
      </c>
      <c r="AE115" s="504" t="s">
        <v>412</v>
      </c>
      <c r="AF115" s="505" t="s">
        <v>585</v>
      </c>
      <c r="AG115" s="498" t="s">
        <v>888</v>
      </c>
      <c r="AH115" s="499" t="s">
        <v>587</v>
      </c>
    </row>
    <row r="116" spans="1:34" ht="30.65" customHeight="1">
      <c r="A116" s="1376"/>
      <c r="B116" s="167">
        <f t="shared" si="61"/>
        <v>62</v>
      </c>
      <c r="C116" s="170" t="s">
        <v>364</v>
      </c>
      <c r="D116" s="177" t="s">
        <v>1019</v>
      </c>
      <c r="E116" s="56"/>
      <c r="F116" s="408"/>
      <c r="G116" s="56"/>
      <c r="H116" s="408"/>
      <c r="I116" s="925">
        <v>2344</v>
      </c>
      <c r="J116" s="183"/>
      <c r="K116" s="171" t="s">
        <v>534</v>
      </c>
      <c r="L116" s="1125">
        <v>2</v>
      </c>
      <c r="M116" s="58">
        <v>1</v>
      </c>
      <c r="N116" s="108">
        <f t="shared" si="60"/>
        <v>0.5</v>
      </c>
      <c r="O116" s="1343"/>
      <c r="P116" s="1343"/>
      <c r="Q116" s="165"/>
      <c r="R116" s="257"/>
      <c r="T116" s="466" t="s">
        <v>894</v>
      </c>
      <c r="U116" s="497" t="s">
        <v>895</v>
      </c>
      <c r="W116" s="500" t="s">
        <v>412</v>
      </c>
      <c r="X116" s="501" t="s">
        <v>412</v>
      </c>
      <c r="Y116" s="501" t="s">
        <v>412</v>
      </c>
      <c r="Z116" s="502" t="s">
        <v>412</v>
      </c>
      <c r="AA116" s="503" t="s">
        <v>412</v>
      </c>
      <c r="AB116" s="501" t="s">
        <v>412</v>
      </c>
      <c r="AC116" s="501" t="s">
        <v>893</v>
      </c>
      <c r="AD116" s="501" t="s">
        <v>412</v>
      </c>
      <c r="AE116" s="504" t="s">
        <v>412</v>
      </c>
      <c r="AF116" s="505" t="s">
        <v>585</v>
      </c>
      <c r="AG116" s="498" t="s">
        <v>888</v>
      </c>
      <c r="AH116" s="499" t="s">
        <v>587</v>
      </c>
    </row>
    <row r="117" spans="1:34" ht="35.25" customHeight="1">
      <c r="A117" s="1376"/>
      <c r="B117" s="167">
        <f t="shared" si="61"/>
        <v>63</v>
      </c>
      <c r="C117" s="170" t="s">
        <v>365</v>
      </c>
      <c r="D117" s="177" t="s">
        <v>595</v>
      </c>
      <c r="E117" s="408"/>
      <c r="F117" s="408"/>
      <c r="G117" s="408"/>
      <c r="H117" s="304"/>
      <c r="I117" s="925">
        <v>12656</v>
      </c>
      <c r="J117" s="183"/>
      <c r="K117" s="171" t="s">
        <v>488</v>
      </c>
      <c r="L117" s="1125">
        <v>6</v>
      </c>
      <c r="M117" s="58">
        <v>7</v>
      </c>
      <c r="N117" s="108">
        <f t="shared" si="60"/>
        <v>1</v>
      </c>
      <c r="O117" s="1343"/>
      <c r="P117" s="1343"/>
      <c r="Q117" s="165"/>
      <c r="R117" s="257"/>
      <c r="T117" s="466" t="s">
        <v>896</v>
      </c>
      <c r="U117" s="497" t="s">
        <v>1020</v>
      </c>
      <c r="W117" s="500" t="s">
        <v>412</v>
      </c>
      <c r="X117" s="501" t="s">
        <v>412</v>
      </c>
      <c r="Y117" s="501" t="s">
        <v>412</v>
      </c>
      <c r="Z117" s="502" t="s">
        <v>412</v>
      </c>
      <c r="AA117" s="503" t="s">
        <v>412</v>
      </c>
      <c r="AB117" s="501" t="s">
        <v>412</v>
      </c>
      <c r="AC117" s="501" t="s">
        <v>893</v>
      </c>
      <c r="AD117" s="501" t="s">
        <v>412</v>
      </c>
      <c r="AE117" s="504" t="s">
        <v>412</v>
      </c>
      <c r="AF117" s="505" t="s">
        <v>585</v>
      </c>
      <c r="AG117" s="498" t="s">
        <v>649</v>
      </c>
      <c r="AH117" s="499" t="s">
        <v>587</v>
      </c>
    </row>
    <row r="118" spans="1:34" ht="41.25" customHeight="1">
      <c r="A118" s="1376"/>
      <c r="B118" s="167">
        <f t="shared" si="61"/>
        <v>64</v>
      </c>
      <c r="C118" s="170" t="s">
        <v>366</v>
      </c>
      <c r="D118" s="177" t="s">
        <v>1019</v>
      </c>
      <c r="E118" s="56"/>
      <c r="F118" s="408"/>
      <c r="G118" s="408"/>
      <c r="H118" s="408"/>
      <c r="I118" s="925">
        <v>5339</v>
      </c>
      <c r="J118" s="183"/>
      <c r="K118" s="171" t="s">
        <v>479</v>
      </c>
      <c r="L118" s="1125">
        <v>1</v>
      </c>
      <c r="M118" s="58">
        <v>1</v>
      </c>
      <c r="N118" s="108">
        <f t="shared" si="60"/>
        <v>1</v>
      </c>
      <c r="O118" s="1343"/>
      <c r="P118" s="1343"/>
      <c r="Q118" s="165"/>
      <c r="R118" s="257"/>
      <c r="T118" s="466" t="s">
        <v>898</v>
      </c>
      <c r="U118" s="497" t="s">
        <v>899</v>
      </c>
      <c r="W118" s="500" t="s">
        <v>412</v>
      </c>
      <c r="X118" s="501" t="s">
        <v>412</v>
      </c>
      <c r="Y118" s="501" t="s">
        <v>412</v>
      </c>
      <c r="Z118" s="502" t="s">
        <v>412</v>
      </c>
      <c r="AA118" s="503" t="s">
        <v>412</v>
      </c>
      <c r="AB118" s="501" t="s">
        <v>412</v>
      </c>
      <c r="AC118" s="501" t="s">
        <v>412</v>
      </c>
      <c r="AD118" s="501" t="s">
        <v>412</v>
      </c>
      <c r="AE118" s="504" t="s">
        <v>412</v>
      </c>
      <c r="AF118" s="505" t="s">
        <v>585</v>
      </c>
      <c r="AG118" s="498" t="s">
        <v>888</v>
      </c>
      <c r="AH118" s="499" t="s">
        <v>587</v>
      </c>
    </row>
    <row r="119" spans="1:34" ht="30.65" customHeight="1">
      <c r="A119" s="1376"/>
      <c r="B119" s="167"/>
      <c r="C119" s="170" t="s">
        <v>367</v>
      </c>
      <c r="D119" s="177"/>
      <c r="E119" s="56"/>
      <c r="F119" s="56"/>
      <c r="G119" s="56"/>
      <c r="H119" s="304"/>
      <c r="I119" s="925" t="s">
        <v>962</v>
      </c>
      <c r="J119" s="183"/>
      <c r="K119" s="171" t="s">
        <v>483</v>
      </c>
      <c r="L119" s="1125"/>
      <c r="M119" s="58"/>
      <c r="N119" s="108" t="str">
        <f t="shared" si="60"/>
        <v/>
      </c>
      <c r="O119" s="1343"/>
      <c r="P119" s="1343"/>
      <c r="Q119" s="165"/>
      <c r="R119" s="257"/>
      <c r="T119" s="466" t="s">
        <v>900</v>
      </c>
      <c r="U119" s="776" t="s">
        <v>1021</v>
      </c>
      <c r="W119" s="500"/>
      <c r="X119" s="501"/>
      <c r="Y119" s="501"/>
      <c r="Z119" s="502"/>
      <c r="AA119" s="503"/>
      <c r="AB119" s="501"/>
      <c r="AC119" s="501"/>
      <c r="AD119" s="501"/>
      <c r="AE119" s="504"/>
      <c r="AF119" s="505"/>
      <c r="AG119" s="498"/>
      <c r="AH119" s="499"/>
    </row>
    <row r="120" spans="1:34" ht="30.65" customHeight="1">
      <c r="A120" s="1376"/>
      <c r="B120" s="167"/>
      <c r="C120" s="170" t="s">
        <v>1022</v>
      </c>
      <c r="D120" s="177" t="s">
        <v>1019</v>
      </c>
      <c r="E120" s="56"/>
      <c r="F120" s="56"/>
      <c r="G120" s="56"/>
      <c r="H120" s="304"/>
      <c r="I120" s="925" t="s">
        <v>962</v>
      </c>
      <c r="J120" s="183"/>
      <c r="K120" s="171" t="s">
        <v>903</v>
      </c>
      <c r="L120" s="1125">
        <v>0</v>
      </c>
      <c r="M120" s="58"/>
      <c r="N120" s="108" t="str">
        <f t="shared" si="60"/>
        <v/>
      </c>
      <c r="O120" s="1344"/>
      <c r="P120" s="1343"/>
      <c r="Q120" s="165"/>
      <c r="R120" s="257"/>
      <c r="T120" s="466" t="s">
        <v>904</v>
      </c>
      <c r="U120" s="497" t="s">
        <v>905</v>
      </c>
      <c r="W120" s="500"/>
      <c r="X120" s="501"/>
      <c r="Y120" s="501"/>
      <c r="Z120" s="502"/>
      <c r="AA120" s="503"/>
      <c r="AB120" s="501"/>
      <c r="AC120" s="501"/>
      <c r="AD120" s="501"/>
      <c r="AE120" s="504"/>
      <c r="AF120" s="505"/>
      <c r="AG120" s="498"/>
      <c r="AH120" s="499"/>
    </row>
    <row r="121" spans="1:34">
      <c r="A121" s="1377"/>
      <c r="B121" s="65"/>
      <c r="C121" s="81"/>
      <c r="D121" s="120"/>
      <c r="E121" s="67"/>
      <c r="F121" s="67"/>
      <c r="G121" s="67"/>
      <c r="H121" s="66"/>
      <c r="I121" s="926">
        <f>SUM(I112:I120)</f>
        <v>45339</v>
      </c>
      <c r="J121" s="358"/>
      <c r="K121" s="442"/>
      <c r="L121" s="440">
        <f>SUM(L112:L120)</f>
        <v>27</v>
      </c>
      <c r="M121" s="443">
        <f>SUM(M113:M120)</f>
        <v>30</v>
      </c>
      <c r="N121" s="444">
        <f>IFERROR(AVERAGE(N112:N120),"")</f>
        <v>0.85</v>
      </c>
      <c r="O121" s="444">
        <f>IFERROR(AVERAGE(N112:N120),"")</f>
        <v>0.85</v>
      </c>
      <c r="P121" s="1343"/>
      <c r="Q121" s="352">
        <f>SUM(Q112:Q120)</f>
        <v>0</v>
      </c>
      <c r="R121" s="70">
        <f>SUM(R112:R120)</f>
        <v>0</v>
      </c>
      <c r="T121" s="68"/>
      <c r="U121" s="469"/>
      <c r="W121" s="478"/>
      <c r="X121" s="67"/>
      <c r="Y121" s="67"/>
      <c r="Z121" s="67"/>
      <c r="AA121" s="67"/>
      <c r="AB121" s="67"/>
      <c r="AC121" s="67"/>
      <c r="AD121" s="67"/>
      <c r="AE121" s="67"/>
      <c r="AF121" s="67"/>
      <c r="AG121" s="67"/>
      <c r="AH121" s="467"/>
    </row>
    <row r="122" spans="1:34" ht="30.65" customHeight="1">
      <c r="A122" s="1387" t="s">
        <v>370</v>
      </c>
      <c r="B122" s="1388"/>
      <c r="C122" s="1388"/>
      <c r="D122" s="1392"/>
      <c r="E122" s="363" t="s">
        <v>248</v>
      </c>
      <c r="F122" s="364" t="s">
        <v>249</v>
      </c>
      <c r="G122" s="364" t="s">
        <v>250</v>
      </c>
      <c r="H122" s="365" t="s">
        <v>251</v>
      </c>
      <c r="I122" s="927">
        <f t="shared" ref="I122" si="62">I130</f>
        <v>42141</v>
      </c>
      <c r="J122" s="366"/>
      <c r="K122" s="367"/>
      <c r="L122" s="368"/>
      <c r="M122" s="369"/>
      <c r="N122" s="370"/>
      <c r="O122" s="371"/>
      <c r="P122" s="1343"/>
      <c r="Q122" s="373">
        <f t="shared" ref="Q122:R122" si="63">Q130</f>
        <v>0</v>
      </c>
      <c r="R122" s="374">
        <f t="shared" si="63"/>
        <v>0</v>
      </c>
      <c r="T122" s="464" t="s">
        <v>907</v>
      </c>
      <c r="U122" s="465"/>
      <c r="W122" s="464" t="s">
        <v>907</v>
      </c>
      <c r="X122" s="458"/>
      <c r="Y122" s="458"/>
      <c r="Z122" s="458"/>
      <c r="AA122" s="458"/>
      <c r="AB122" s="458"/>
      <c r="AC122" s="458"/>
      <c r="AD122" s="458"/>
      <c r="AE122" s="458"/>
      <c r="AF122" s="458"/>
      <c r="AG122" s="458"/>
      <c r="AH122" s="465"/>
    </row>
    <row r="123" spans="1:34" ht="30.65" customHeight="1">
      <c r="A123" s="1301" t="s">
        <v>371</v>
      </c>
      <c r="B123" s="167"/>
      <c r="C123" s="170" t="s">
        <v>372</v>
      </c>
      <c r="D123" s="176" t="s">
        <v>78</v>
      </c>
      <c r="E123" s="56"/>
      <c r="F123" s="56"/>
      <c r="G123" s="56"/>
      <c r="H123" s="304"/>
      <c r="I123" s="925"/>
      <c r="J123" s="182"/>
      <c r="K123" s="171"/>
      <c r="L123" s="1125"/>
      <c r="M123" s="58"/>
      <c r="N123" s="108" t="str">
        <f t="shared" ref="N123:N129" si="64">IF(L123,MIN(1,M123/L123),"")</f>
        <v/>
      </c>
      <c r="O123" s="1345"/>
      <c r="P123" s="1343"/>
      <c r="Q123" s="165"/>
      <c r="R123" s="257"/>
      <c r="T123" s="466" t="s">
        <v>908</v>
      </c>
      <c r="U123" s="497"/>
      <c r="W123" s="500"/>
      <c r="X123" s="501"/>
      <c r="Y123" s="501"/>
      <c r="Z123" s="502"/>
      <c r="AA123" s="503"/>
      <c r="AB123" s="501"/>
      <c r="AC123" s="501"/>
      <c r="AD123" s="501"/>
      <c r="AE123" s="504"/>
      <c r="AF123" s="505"/>
      <c r="AG123" s="498"/>
      <c r="AH123" s="499"/>
    </row>
    <row r="124" spans="1:34" ht="30.65" customHeight="1">
      <c r="A124" s="1302"/>
      <c r="B124" s="167">
        <v>65</v>
      </c>
      <c r="C124" s="170" t="s">
        <v>373</v>
      </c>
      <c r="D124" s="177" t="s">
        <v>595</v>
      </c>
      <c r="E124" s="56"/>
      <c r="F124" s="408"/>
      <c r="G124" s="408"/>
      <c r="H124" s="408"/>
      <c r="I124" s="925">
        <v>11719</v>
      </c>
      <c r="J124" s="183"/>
      <c r="K124" s="171" t="s">
        <v>909</v>
      </c>
      <c r="L124" s="1125">
        <v>5</v>
      </c>
      <c r="M124" s="58">
        <v>6</v>
      </c>
      <c r="N124" s="108">
        <f t="shared" si="64"/>
        <v>1</v>
      </c>
      <c r="O124" s="1305"/>
      <c r="P124" s="1343"/>
      <c r="Q124" s="165"/>
      <c r="R124" s="257"/>
      <c r="T124" s="466" t="s">
        <v>910</v>
      </c>
      <c r="U124" s="497" t="s">
        <v>1023</v>
      </c>
      <c r="W124" s="500" t="s">
        <v>412</v>
      </c>
      <c r="X124" s="501" t="s">
        <v>412</v>
      </c>
      <c r="Y124" s="501" t="s">
        <v>912</v>
      </c>
      <c r="Z124" s="502" t="s">
        <v>913</v>
      </c>
      <c r="AA124" s="503" t="s">
        <v>914</v>
      </c>
      <c r="AB124" s="501" t="s">
        <v>915</v>
      </c>
      <c r="AC124" s="501" t="s">
        <v>412</v>
      </c>
      <c r="AD124" s="501" t="s">
        <v>412</v>
      </c>
      <c r="AE124" s="504" t="s">
        <v>412</v>
      </c>
      <c r="AF124" s="505" t="s">
        <v>746</v>
      </c>
      <c r="AG124" s="498" t="s">
        <v>1024</v>
      </c>
      <c r="AH124" s="499" t="s">
        <v>587</v>
      </c>
    </row>
    <row r="125" spans="1:34" ht="30.65" customHeight="1">
      <c r="A125" s="1302"/>
      <c r="B125" s="167">
        <f t="shared" ref="B125:B126" si="65">B124+1</f>
        <v>66</v>
      </c>
      <c r="C125" s="170" t="s">
        <v>374</v>
      </c>
      <c r="D125" s="177" t="s">
        <v>78</v>
      </c>
      <c r="E125" s="56"/>
      <c r="F125" s="56"/>
      <c r="G125" s="408"/>
      <c r="H125" s="408"/>
      <c r="I125" s="925">
        <v>7656</v>
      </c>
      <c r="J125" s="183"/>
      <c r="K125" s="171" t="s">
        <v>917</v>
      </c>
      <c r="L125" s="1125">
        <v>2</v>
      </c>
      <c r="M125" s="58">
        <v>2</v>
      </c>
      <c r="N125" s="108">
        <f t="shared" si="64"/>
        <v>1</v>
      </c>
      <c r="O125" s="1305"/>
      <c r="P125" s="1343"/>
      <c r="Q125" s="165"/>
      <c r="R125" s="257"/>
      <c r="T125" s="466" t="s">
        <v>918</v>
      </c>
      <c r="U125" s="497" t="s">
        <v>919</v>
      </c>
      <c r="W125" s="500" t="s">
        <v>412</v>
      </c>
      <c r="X125" s="501" t="s">
        <v>412</v>
      </c>
      <c r="Y125" s="501" t="s">
        <v>412</v>
      </c>
      <c r="Z125" s="502" t="s">
        <v>412</v>
      </c>
      <c r="AA125" s="503" t="s">
        <v>412</v>
      </c>
      <c r="AB125" s="501" t="s">
        <v>412</v>
      </c>
      <c r="AC125" s="501" t="s">
        <v>412</v>
      </c>
      <c r="AD125" s="501" t="s">
        <v>412</v>
      </c>
      <c r="AE125" s="504" t="s">
        <v>412</v>
      </c>
      <c r="AF125" s="505" t="s">
        <v>746</v>
      </c>
      <c r="AG125" s="498" t="s">
        <v>1024</v>
      </c>
      <c r="AH125" s="499" t="s">
        <v>587</v>
      </c>
    </row>
    <row r="126" spans="1:34" ht="30.65" customHeight="1">
      <c r="A126" s="1302"/>
      <c r="B126" s="167">
        <f t="shared" si="65"/>
        <v>67</v>
      </c>
      <c r="C126" s="170" t="s">
        <v>375</v>
      </c>
      <c r="D126" s="177" t="s">
        <v>78</v>
      </c>
      <c r="E126" s="408"/>
      <c r="F126" s="408"/>
      <c r="G126" s="408"/>
      <c r="H126" s="304"/>
      <c r="I126" s="925">
        <v>9766</v>
      </c>
      <c r="J126" s="183"/>
      <c r="K126" s="171" t="s">
        <v>920</v>
      </c>
      <c r="L126" s="1125">
        <v>5</v>
      </c>
      <c r="M126" s="58">
        <v>0</v>
      </c>
      <c r="N126" s="108">
        <f t="shared" si="64"/>
        <v>0</v>
      </c>
      <c r="O126" s="1305"/>
      <c r="P126" s="1343"/>
      <c r="Q126" s="165"/>
      <c r="R126" s="257"/>
      <c r="T126" s="466" t="s">
        <v>921</v>
      </c>
      <c r="U126" s="497" t="s">
        <v>922</v>
      </c>
      <c r="W126" s="500" t="s">
        <v>412</v>
      </c>
      <c r="X126" s="501" t="s">
        <v>412</v>
      </c>
      <c r="Y126" s="501" t="s">
        <v>412</v>
      </c>
      <c r="Z126" s="502" t="s">
        <v>412</v>
      </c>
      <c r="AA126" s="503" t="s">
        <v>412</v>
      </c>
      <c r="AB126" s="501" t="s">
        <v>412</v>
      </c>
      <c r="AC126" s="501" t="s">
        <v>412</v>
      </c>
      <c r="AD126" s="501" t="s">
        <v>412</v>
      </c>
      <c r="AE126" s="504" t="s">
        <v>412</v>
      </c>
      <c r="AF126" s="505" t="s">
        <v>746</v>
      </c>
      <c r="AG126" s="498" t="s">
        <v>1025</v>
      </c>
      <c r="AH126" s="499" t="s">
        <v>587</v>
      </c>
    </row>
    <row r="127" spans="1:34" ht="30.65" customHeight="1">
      <c r="A127" s="1302"/>
      <c r="B127" s="167"/>
      <c r="C127" s="170" t="s">
        <v>376</v>
      </c>
      <c r="D127" s="177" t="s">
        <v>78</v>
      </c>
      <c r="E127" s="56"/>
      <c r="F127" s="56"/>
      <c r="G127" s="56"/>
      <c r="H127" s="304"/>
      <c r="I127" s="925"/>
      <c r="J127" s="183"/>
      <c r="K127" s="171" t="s">
        <v>923</v>
      </c>
      <c r="L127" s="1125"/>
      <c r="M127" s="58"/>
      <c r="N127" s="108" t="str">
        <f t="shared" si="64"/>
        <v/>
      </c>
      <c r="O127" s="1305"/>
      <c r="P127" s="1343"/>
      <c r="Q127" s="165"/>
      <c r="R127" s="257"/>
      <c r="T127" s="466" t="s">
        <v>924</v>
      </c>
      <c r="U127" s="497" t="s">
        <v>925</v>
      </c>
      <c r="W127" s="500" t="s">
        <v>412</v>
      </c>
      <c r="X127" s="501" t="s">
        <v>412</v>
      </c>
      <c r="Y127" s="501" t="s">
        <v>412</v>
      </c>
      <c r="Z127" s="502" t="s">
        <v>412</v>
      </c>
      <c r="AA127" s="503" t="s">
        <v>412</v>
      </c>
      <c r="AB127" s="501" t="s">
        <v>412</v>
      </c>
      <c r="AC127" s="501" t="s">
        <v>412</v>
      </c>
      <c r="AD127" s="501" t="s">
        <v>412</v>
      </c>
      <c r="AE127" s="504" t="s">
        <v>412</v>
      </c>
      <c r="AF127" s="505" t="s">
        <v>746</v>
      </c>
      <c r="AG127" s="498" t="s">
        <v>1026</v>
      </c>
      <c r="AH127" s="499" t="s">
        <v>587</v>
      </c>
    </row>
    <row r="128" spans="1:34" ht="30.65" customHeight="1">
      <c r="A128" s="1302"/>
      <c r="B128" s="167">
        <v>68</v>
      </c>
      <c r="C128" s="170" t="s">
        <v>377</v>
      </c>
      <c r="D128" s="177" t="s">
        <v>595</v>
      </c>
      <c r="E128" s="408"/>
      <c r="F128" s="408"/>
      <c r="G128" s="408"/>
      <c r="H128" s="408"/>
      <c r="I128" s="925">
        <v>13000</v>
      </c>
      <c r="J128" s="183"/>
      <c r="K128" s="171" t="s">
        <v>608</v>
      </c>
      <c r="L128" s="1125">
        <v>12</v>
      </c>
      <c r="M128" s="58">
        <v>12</v>
      </c>
      <c r="N128" s="108">
        <f t="shared" si="64"/>
        <v>1</v>
      </c>
      <c r="O128" s="1305"/>
      <c r="P128" s="1343"/>
      <c r="Q128" s="165"/>
      <c r="R128" s="257"/>
      <c r="T128" s="466" t="s">
        <v>926</v>
      </c>
      <c r="U128" s="497" t="s">
        <v>927</v>
      </c>
      <c r="W128" s="500" t="s">
        <v>412</v>
      </c>
      <c r="X128" s="501" t="s">
        <v>412</v>
      </c>
      <c r="Y128" s="501" t="s">
        <v>412</v>
      </c>
      <c r="Z128" s="502" t="s">
        <v>412</v>
      </c>
      <c r="AA128" s="503" t="s">
        <v>412</v>
      </c>
      <c r="AB128" s="501" t="s">
        <v>412</v>
      </c>
      <c r="AC128" s="501" t="s">
        <v>412</v>
      </c>
      <c r="AD128" s="501" t="s">
        <v>412</v>
      </c>
      <c r="AE128" s="504" t="s">
        <v>412</v>
      </c>
      <c r="AF128" s="505" t="s">
        <v>746</v>
      </c>
      <c r="AG128" s="498" t="s">
        <v>1027</v>
      </c>
      <c r="AH128" s="499" t="s">
        <v>587</v>
      </c>
    </row>
    <row r="129" spans="1:34" ht="30.65" customHeight="1">
      <c r="A129" s="1302"/>
      <c r="B129" s="167"/>
      <c r="C129" s="170" t="s">
        <v>1028</v>
      </c>
      <c r="D129" s="177" t="s">
        <v>78</v>
      </c>
      <c r="E129" s="56"/>
      <c r="F129" s="56"/>
      <c r="G129" s="56"/>
      <c r="H129" s="304"/>
      <c r="I129" s="925" t="s">
        <v>962</v>
      </c>
      <c r="J129" s="183"/>
      <c r="K129" s="171"/>
      <c r="L129" s="1125"/>
      <c r="M129" s="58"/>
      <c r="N129" s="108" t="str">
        <f t="shared" si="64"/>
        <v/>
      </c>
      <c r="O129" s="1346"/>
      <c r="P129" s="1344"/>
      <c r="Q129" s="165"/>
      <c r="R129" s="257"/>
      <c r="T129" s="466" t="s">
        <v>928</v>
      </c>
      <c r="U129" s="497"/>
      <c r="W129" s="500"/>
      <c r="X129" s="501"/>
      <c r="Y129" s="501"/>
      <c r="Z129" s="502"/>
      <c r="AA129" s="503"/>
      <c r="AB129" s="501"/>
      <c r="AC129" s="501"/>
      <c r="AD129" s="501"/>
      <c r="AE129" s="504"/>
      <c r="AF129" s="505"/>
      <c r="AG129" s="498"/>
      <c r="AH129" s="499"/>
    </row>
    <row r="130" spans="1:34" ht="15" thickBot="1">
      <c r="A130" s="1355"/>
      <c r="B130" s="65"/>
      <c r="C130" s="81"/>
      <c r="D130" s="120"/>
      <c r="E130" s="67"/>
      <c r="F130" s="67"/>
      <c r="G130" s="67"/>
      <c r="H130" s="66"/>
      <c r="I130" s="926">
        <f>SUM(I123:I129)</f>
        <v>42141</v>
      </c>
      <c r="J130" s="358"/>
      <c r="K130" s="442"/>
      <c r="L130" s="440">
        <f>SUM(L123:L129)</f>
        <v>24</v>
      </c>
      <c r="M130" s="443">
        <f>SUM(M123:M129)</f>
        <v>20</v>
      </c>
      <c r="N130" s="444">
        <f>IFERROR(AVERAGE(N123:N129),"")</f>
        <v>0.75</v>
      </c>
      <c r="O130" s="444">
        <f>IFERROR(AVERAGE(N123:N129),"")</f>
        <v>0.75</v>
      </c>
      <c r="P130" s="444">
        <f>IFERROR(AVERAGE(N101:N103,N105:N109,N112:N120,N123:N129),"")</f>
        <v>0.7162827461607949</v>
      </c>
      <c r="Q130" s="352">
        <f>SUM(Q123:Q129)</f>
        <v>0</v>
      </c>
      <c r="R130" s="70">
        <f>SUM(R123:R129)</f>
        <v>0</v>
      </c>
      <c r="T130" s="487"/>
      <c r="U130" s="488"/>
      <c r="W130" s="481"/>
      <c r="X130" s="482"/>
      <c r="Y130" s="482"/>
      <c r="Z130" s="482"/>
      <c r="AA130" s="482"/>
      <c r="AB130" s="482"/>
      <c r="AC130" s="482"/>
      <c r="AD130" s="482"/>
      <c r="AE130" s="482"/>
      <c r="AF130" s="482"/>
      <c r="AG130" s="482"/>
      <c r="AH130" s="483"/>
    </row>
    <row r="131" spans="1:34" ht="36.75" customHeight="1">
      <c r="A131" s="83" t="s">
        <v>379</v>
      </c>
      <c r="B131" s="83"/>
      <c r="C131" s="84"/>
      <c r="D131" s="84"/>
      <c r="E131" s="85"/>
      <c r="F131" s="85"/>
      <c r="G131" s="85"/>
      <c r="H131" s="86"/>
      <c r="I131" s="930">
        <f>I132+I150+I166</f>
        <v>290563.08</v>
      </c>
      <c r="J131" s="136"/>
      <c r="K131" s="114"/>
      <c r="L131" s="89"/>
      <c r="M131" s="90"/>
      <c r="N131" s="88"/>
      <c r="O131" s="88"/>
      <c r="P131" s="91"/>
      <c r="Q131" s="349">
        <f>Q132+Q150+Q166</f>
        <v>0</v>
      </c>
      <c r="R131" s="82">
        <f>R132+R150+R166</f>
        <v>0</v>
      </c>
    </row>
    <row r="132" spans="1:34" ht="30.65" customHeight="1">
      <c r="A132" s="277" t="s">
        <v>380</v>
      </c>
      <c r="B132" s="278"/>
      <c r="C132" s="278"/>
      <c r="D132" s="276"/>
      <c r="E132" s="250" t="s">
        <v>248</v>
      </c>
      <c r="F132" s="251" t="s">
        <v>249</v>
      </c>
      <c r="G132" s="251" t="s">
        <v>250</v>
      </c>
      <c r="H132" s="252" t="s">
        <v>251</v>
      </c>
      <c r="I132" s="931">
        <f>I149</f>
        <v>58290.880000000005</v>
      </c>
      <c r="J132" s="254"/>
      <c r="K132" s="259"/>
      <c r="L132" s="261"/>
      <c r="M132" s="262"/>
      <c r="N132" s="255"/>
      <c r="O132" s="282"/>
      <c r="P132" s="283"/>
      <c r="Q132" s="351">
        <f t="shared" ref="Q132:R132" si="66">Q149</f>
        <v>0</v>
      </c>
      <c r="R132" s="256">
        <f t="shared" si="66"/>
        <v>0</v>
      </c>
    </row>
    <row r="133" spans="1:34" ht="30.65" customHeight="1">
      <c r="A133" s="1349" t="s">
        <v>381</v>
      </c>
      <c r="B133" s="780">
        <v>5645</v>
      </c>
      <c r="C133" s="170" t="s">
        <v>1029</v>
      </c>
      <c r="D133" s="186" t="s">
        <v>78</v>
      </c>
      <c r="E133" s="408"/>
      <c r="F133" s="408"/>
      <c r="G133" s="408"/>
      <c r="H133" s="408"/>
      <c r="I133" s="932">
        <v>4218.75</v>
      </c>
      <c r="J133" s="182"/>
      <c r="K133" s="1127" t="s">
        <v>608</v>
      </c>
      <c r="L133" s="1128">
        <v>12</v>
      </c>
      <c r="M133" s="58"/>
      <c r="N133" s="307"/>
      <c r="O133" s="307"/>
      <c r="P133" s="307"/>
      <c r="Q133" s="263"/>
      <c r="R133" s="1129"/>
    </row>
    <row r="134" spans="1:34" ht="30.65" customHeight="1">
      <c r="A134" s="1350"/>
      <c r="B134" s="781">
        <v>5608</v>
      </c>
      <c r="C134" s="170" t="s">
        <v>1030</v>
      </c>
      <c r="D134" s="186" t="s">
        <v>78</v>
      </c>
      <c r="E134" s="62"/>
      <c r="F134" s="408"/>
      <c r="G134" s="62"/>
      <c r="H134" s="408"/>
      <c r="I134" s="932">
        <v>1406.25</v>
      </c>
      <c r="J134" s="183"/>
      <c r="K134" s="1127" t="s">
        <v>608</v>
      </c>
      <c r="L134" s="1128">
        <v>12</v>
      </c>
      <c r="M134" s="58"/>
      <c r="N134" s="307"/>
      <c r="O134" s="307"/>
      <c r="P134" s="307"/>
      <c r="Q134" s="263"/>
      <c r="R134" s="1129"/>
    </row>
    <row r="135" spans="1:34" ht="30.65" customHeight="1">
      <c r="A135" s="1350"/>
      <c r="B135" s="781">
        <v>5607</v>
      </c>
      <c r="C135" s="170" t="s">
        <v>1031</v>
      </c>
      <c r="D135" s="186" t="s">
        <v>78</v>
      </c>
      <c r="E135" s="408"/>
      <c r="F135" s="408"/>
      <c r="G135" s="408"/>
      <c r="H135" s="408"/>
      <c r="I135" s="932">
        <v>1328.13</v>
      </c>
      <c r="J135" s="183"/>
      <c r="K135" s="1127" t="s">
        <v>931</v>
      </c>
      <c r="L135" s="1128">
        <v>2</v>
      </c>
      <c r="M135" s="58"/>
      <c r="N135" s="307"/>
      <c r="O135" s="307"/>
      <c r="P135" s="307"/>
      <c r="Q135" s="263"/>
      <c r="R135" s="1129"/>
    </row>
    <row r="136" spans="1:34" ht="30.65" customHeight="1">
      <c r="A136" s="1350"/>
      <c r="B136" s="781">
        <v>5605</v>
      </c>
      <c r="C136" s="170" t="s">
        <v>384</v>
      </c>
      <c r="D136" s="186" t="s">
        <v>78</v>
      </c>
      <c r="E136" s="408"/>
      <c r="F136" s="408"/>
      <c r="G136" s="408"/>
      <c r="H136" s="408"/>
      <c r="I136" s="932">
        <v>3906.25</v>
      </c>
      <c r="J136" s="183"/>
      <c r="K136" s="1127" t="s">
        <v>608</v>
      </c>
      <c r="L136" s="1128">
        <v>12</v>
      </c>
      <c r="M136" s="58"/>
      <c r="N136" s="307"/>
      <c r="O136" s="307"/>
      <c r="P136" s="307"/>
      <c r="Q136" s="263"/>
      <c r="R136" s="1129"/>
    </row>
    <row r="137" spans="1:34" ht="30.65" customHeight="1">
      <c r="A137" s="1350"/>
      <c r="B137" s="781">
        <v>5616</v>
      </c>
      <c r="C137" s="170" t="s">
        <v>385</v>
      </c>
      <c r="D137" s="186" t="s">
        <v>78</v>
      </c>
      <c r="E137" s="62"/>
      <c r="F137" s="408"/>
      <c r="G137" s="408"/>
      <c r="H137" s="408"/>
      <c r="I137" s="932">
        <v>843.75</v>
      </c>
      <c r="J137" s="183"/>
      <c r="K137" s="1127" t="s">
        <v>608</v>
      </c>
      <c r="L137" s="1128">
        <v>12</v>
      </c>
      <c r="M137" s="58"/>
      <c r="N137" s="307"/>
      <c r="O137" s="307"/>
      <c r="P137" s="307"/>
      <c r="Q137" s="263"/>
      <c r="R137" s="1129"/>
    </row>
    <row r="138" spans="1:34" ht="30.65" customHeight="1">
      <c r="A138" s="1350"/>
      <c r="B138" s="782">
        <v>5701</v>
      </c>
      <c r="C138" s="170" t="s">
        <v>386</v>
      </c>
      <c r="D138" s="186" t="s">
        <v>78</v>
      </c>
      <c r="E138" s="408"/>
      <c r="F138" s="408"/>
      <c r="G138" s="408"/>
      <c r="H138" s="408"/>
      <c r="I138" s="932">
        <v>5625</v>
      </c>
      <c r="J138" s="183"/>
      <c r="K138" s="1127" t="s">
        <v>608</v>
      </c>
      <c r="L138" s="1128">
        <v>12</v>
      </c>
      <c r="M138" s="58"/>
      <c r="N138" s="307"/>
      <c r="O138" s="307"/>
      <c r="P138" s="307"/>
      <c r="Q138" s="263"/>
      <c r="R138" s="1129"/>
    </row>
    <row r="139" spans="1:34" ht="30.65" customHeight="1">
      <c r="A139" s="1350"/>
      <c r="B139" s="782">
        <v>5701</v>
      </c>
      <c r="C139" s="170" t="s">
        <v>387</v>
      </c>
      <c r="D139" s="186" t="s">
        <v>78</v>
      </c>
      <c r="E139" s="408"/>
      <c r="F139" s="408"/>
      <c r="G139" s="408"/>
      <c r="H139" s="408"/>
      <c r="I139" s="932">
        <v>7500</v>
      </c>
      <c r="J139" s="183"/>
      <c r="K139" s="1127" t="s">
        <v>608</v>
      </c>
      <c r="L139" s="1128">
        <v>12</v>
      </c>
      <c r="M139" s="58"/>
      <c r="N139" s="307"/>
      <c r="O139" s="307"/>
      <c r="P139" s="307"/>
      <c r="Q139" s="263"/>
      <c r="R139" s="1129"/>
    </row>
    <row r="140" spans="1:34" ht="30.65" customHeight="1">
      <c r="A140" s="1350"/>
      <c r="B140" s="781">
        <v>5625</v>
      </c>
      <c r="C140" s="170" t="s">
        <v>388</v>
      </c>
      <c r="D140" s="186" t="s">
        <v>78</v>
      </c>
      <c r="E140" s="408"/>
      <c r="F140" s="408"/>
      <c r="G140" s="408"/>
      <c r="H140" s="408"/>
      <c r="I140" s="932">
        <v>656.25</v>
      </c>
      <c r="J140" s="183"/>
      <c r="K140" s="1127" t="s">
        <v>536</v>
      </c>
      <c r="L140" s="1128">
        <v>1</v>
      </c>
      <c r="M140" s="58"/>
      <c r="N140" s="307"/>
      <c r="O140" s="307"/>
      <c r="P140" s="307"/>
      <c r="Q140" s="263"/>
      <c r="R140" s="1129"/>
    </row>
    <row r="141" spans="1:34" ht="30.65" customHeight="1">
      <c r="A141" s="1350"/>
      <c r="B141" s="781">
        <v>5630</v>
      </c>
      <c r="C141" s="170" t="s">
        <v>389</v>
      </c>
      <c r="D141" s="186" t="s">
        <v>78</v>
      </c>
      <c r="E141" s="408"/>
      <c r="F141" s="408"/>
      <c r="G141" s="408"/>
      <c r="H141" s="408"/>
      <c r="I141" s="932">
        <v>937.5</v>
      </c>
      <c r="J141" s="183"/>
      <c r="K141" s="1127" t="s">
        <v>608</v>
      </c>
      <c r="L141" s="1128">
        <v>12</v>
      </c>
      <c r="M141" s="58"/>
      <c r="N141" s="307"/>
      <c r="O141" s="307"/>
      <c r="P141" s="307"/>
      <c r="Q141" s="263"/>
      <c r="R141" s="1129"/>
    </row>
    <row r="142" spans="1:34" ht="30.65" customHeight="1">
      <c r="A142" s="1350"/>
      <c r="B142" s="781">
        <v>5655</v>
      </c>
      <c r="C142" s="170" t="s">
        <v>390</v>
      </c>
      <c r="D142" s="186" t="s">
        <v>78</v>
      </c>
      <c r="E142" s="408"/>
      <c r="F142" s="408"/>
      <c r="G142" s="408"/>
      <c r="H142" s="408"/>
      <c r="I142" s="932">
        <v>3750</v>
      </c>
      <c r="J142" s="183"/>
      <c r="K142" s="1127" t="s">
        <v>608</v>
      </c>
      <c r="L142" s="1128">
        <v>12</v>
      </c>
      <c r="M142" s="58"/>
      <c r="N142" s="307"/>
      <c r="O142" s="307"/>
      <c r="P142" s="307"/>
      <c r="Q142" s="263"/>
      <c r="R142" s="1129"/>
    </row>
    <row r="143" spans="1:34" ht="30.65" customHeight="1">
      <c r="A143" s="1350"/>
      <c r="B143" s="781">
        <v>5650</v>
      </c>
      <c r="C143" s="170" t="s">
        <v>1032</v>
      </c>
      <c r="D143" s="186" t="s">
        <v>78</v>
      </c>
      <c r="E143" s="408"/>
      <c r="F143" s="408"/>
      <c r="G143" s="408"/>
      <c r="H143" s="408"/>
      <c r="I143" s="932">
        <v>6562.5</v>
      </c>
      <c r="J143" s="183"/>
      <c r="K143" s="1127" t="s">
        <v>608</v>
      </c>
      <c r="L143" s="1128">
        <v>12</v>
      </c>
      <c r="M143" s="58"/>
      <c r="N143" s="307"/>
      <c r="O143" s="307"/>
      <c r="P143" s="307"/>
      <c r="Q143" s="263"/>
      <c r="R143" s="1129"/>
    </row>
    <row r="144" spans="1:34" ht="30.65" customHeight="1">
      <c r="A144" s="1350"/>
      <c r="B144" s="781">
        <v>5310</v>
      </c>
      <c r="C144" s="170" t="s">
        <v>1033</v>
      </c>
      <c r="D144" s="186" t="s">
        <v>78</v>
      </c>
      <c r="E144" s="408"/>
      <c r="F144" s="408"/>
      <c r="G144" s="408"/>
      <c r="H144" s="408"/>
      <c r="I144" s="932">
        <v>8911.5</v>
      </c>
      <c r="J144" s="183"/>
      <c r="K144" s="1127" t="s">
        <v>608</v>
      </c>
      <c r="L144" s="1128">
        <v>12</v>
      </c>
      <c r="M144" s="58"/>
      <c r="N144" s="307"/>
      <c r="O144" s="307"/>
      <c r="P144" s="307"/>
      <c r="Q144" s="263"/>
      <c r="R144" s="1129"/>
    </row>
    <row r="145" spans="1:18" ht="30.65" customHeight="1">
      <c r="A145" s="1380"/>
      <c r="B145" s="781">
        <v>5405</v>
      </c>
      <c r="C145" s="170" t="s">
        <v>393</v>
      </c>
      <c r="D145" s="186" t="s">
        <v>78</v>
      </c>
      <c r="E145" s="408"/>
      <c r="F145" s="408"/>
      <c r="G145" s="408"/>
      <c r="H145" s="408"/>
      <c r="I145" s="932">
        <v>3906.25</v>
      </c>
      <c r="J145" s="183"/>
      <c r="K145" s="1127" t="s">
        <v>608</v>
      </c>
      <c r="L145" s="1128">
        <v>12</v>
      </c>
      <c r="M145" s="58"/>
      <c r="N145" s="307"/>
      <c r="O145" s="307"/>
      <c r="P145" s="307"/>
      <c r="Q145" s="263"/>
      <c r="R145" s="1129"/>
    </row>
    <row r="146" spans="1:18" ht="30.65" customHeight="1">
      <c r="A146" s="1350"/>
      <c r="B146" s="781">
        <v>5660</v>
      </c>
      <c r="C146" s="170" t="s">
        <v>394</v>
      </c>
      <c r="D146" s="186" t="s">
        <v>78</v>
      </c>
      <c r="E146" s="408"/>
      <c r="F146" s="408"/>
      <c r="G146" s="408"/>
      <c r="H146" s="408"/>
      <c r="I146" s="932">
        <v>300</v>
      </c>
      <c r="J146" s="183"/>
      <c r="K146" s="1127" t="s">
        <v>933</v>
      </c>
      <c r="L146" s="1128">
        <v>5</v>
      </c>
      <c r="M146" s="437"/>
      <c r="N146" s="307"/>
      <c r="O146" s="307"/>
      <c r="P146" s="438"/>
      <c r="Q146" s="263"/>
      <c r="R146" s="1142"/>
    </row>
    <row r="147" spans="1:18" ht="30.65" customHeight="1">
      <c r="A147" s="1350"/>
      <c r="B147" s="783">
        <v>5701</v>
      </c>
      <c r="C147" s="170" t="s">
        <v>1034</v>
      </c>
      <c r="D147" s="186" t="s">
        <v>78</v>
      </c>
      <c r="E147" s="408"/>
      <c r="F147" s="408"/>
      <c r="G147" s="408"/>
      <c r="H147" s="408"/>
      <c r="I147" s="932">
        <v>2970</v>
      </c>
      <c r="J147" s="183"/>
      <c r="K147" s="1127" t="s">
        <v>608</v>
      </c>
      <c r="L147" s="1128">
        <v>12</v>
      </c>
      <c r="M147" s="437"/>
      <c r="N147" s="307"/>
      <c r="O147" s="307"/>
      <c r="P147" s="438"/>
      <c r="Q147" s="263"/>
      <c r="R147" s="1142"/>
    </row>
    <row r="148" spans="1:18" ht="30.65" customHeight="1">
      <c r="A148" s="1350"/>
      <c r="B148" s="781" t="s">
        <v>1035</v>
      </c>
      <c r="C148" s="170" t="s">
        <v>1036</v>
      </c>
      <c r="D148" s="186" t="s">
        <v>78</v>
      </c>
      <c r="E148" s="408"/>
      <c r="F148" s="408"/>
      <c r="G148" s="408"/>
      <c r="H148" s="408"/>
      <c r="I148" s="932">
        <v>5468.75</v>
      </c>
      <c r="J148" s="183"/>
      <c r="K148" s="1127" t="s">
        <v>935</v>
      </c>
      <c r="L148" s="1128">
        <v>1</v>
      </c>
      <c r="M148" s="437"/>
      <c r="N148" s="307"/>
      <c r="O148" s="307"/>
      <c r="P148" s="438"/>
      <c r="Q148" s="263"/>
      <c r="R148" s="1142"/>
    </row>
    <row r="149" spans="1:18">
      <c r="A149" s="1351"/>
      <c r="B149" s="784"/>
      <c r="C149" s="785"/>
      <c r="D149" s="120"/>
      <c r="E149" s="67"/>
      <c r="F149" s="67"/>
      <c r="G149" s="67"/>
      <c r="H149" s="66"/>
      <c r="I149" s="926">
        <f>SUM(I133:I148)</f>
        <v>58290.880000000005</v>
      </c>
      <c r="J149" s="358"/>
      <c r="K149" s="111"/>
      <c r="L149" s="440">
        <f>SUM(L133:L148)</f>
        <v>153</v>
      </c>
      <c r="M149" s="441">
        <f>SUM(M133:M148)</f>
        <v>0</v>
      </c>
      <c r="N149" s="142"/>
      <c r="O149" s="432"/>
      <c r="P149" s="433"/>
      <c r="Q149" s="352">
        <f>SUM(Q133:Q148)</f>
        <v>0</v>
      </c>
      <c r="R149" s="70">
        <f>SUM(R133:R148)</f>
        <v>0</v>
      </c>
    </row>
    <row r="150" spans="1:18" ht="30.65" customHeight="1">
      <c r="A150" s="264"/>
      <c r="B150" s="786"/>
      <c r="C150" s="787" t="s">
        <v>395</v>
      </c>
      <c r="D150" s="64"/>
      <c r="E150" s="64"/>
      <c r="F150" s="64"/>
      <c r="G150" s="129"/>
      <c r="H150" s="130"/>
      <c r="I150" s="931">
        <f t="shared" ref="I150" si="67">I165</f>
        <v>7772.2000000000007</v>
      </c>
      <c r="J150" s="140"/>
      <c r="K150" s="265"/>
      <c r="L150" s="266"/>
      <c r="M150" s="267"/>
      <c r="N150" s="434"/>
      <c r="O150" s="435"/>
      <c r="P150" s="436"/>
      <c r="Q150" s="351">
        <f t="shared" ref="Q150:R150" si="68">Q165</f>
        <v>0</v>
      </c>
      <c r="R150" s="489">
        <f t="shared" si="68"/>
        <v>0</v>
      </c>
    </row>
    <row r="151" spans="1:18" ht="30.65" customHeight="1">
      <c r="A151" s="281"/>
      <c r="B151" s="780">
        <v>5820</v>
      </c>
      <c r="C151" s="170" t="s">
        <v>1037</v>
      </c>
      <c r="D151" s="186" t="s">
        <v>78</v>
      </c>
      <c r="E151" s="408"/>
      <c r="F151" s="408"/>
      <c r="G151" s="408"/>
      <c r="H151" s="408"/>
      <c r="I151" s="932">
        <v>546.88</v>
      </c>
      <c r="J151" s="182"/>
      <c r="K151" s="1131" t="s">
        <v>398</v>
      </c>
      <c r="L151" s="1128">
        <v>1</v>
      </c>
      <c r="M151" s="58"/>
      <c r="N151" s="307"/>
      <c r="O151" s="307"/>
      <c r="P151" s="307"/>
      <c r="Q151" s="263"/>
      <c r="R151" s="1129"/>
    </row>
    <row r="152" spans="1:18" ht="30.65" customHeight="1">
      <c r="A152" s="281"/>
      <c r="B152" s="781">
        <v>5820</v>
      </c>
      <c r="C152" s="170" t="s">
        <v>546</v>
      </c>
      <c r="D152" s="186" t="s">
        <v>78</v>
      </c>
      <c r="E152" s="408"/>
      <c r="F152" s="408"/>
      <c r="G152" s="408"/>
      <c r="H152" s="408"/>
      <c r="I152" s="932">
        <v>2343.75</v>
      </c>
      <c r="J152" s="183"/>
      <c r="K152" s="1131" t="s">
        <v>412</v>
      </c>
      <c r="L152" s="1128">
        <v>2</v>
      </c>
      <c r="M152" s="58"/>
      <c r="N152" s="307"/>
      <c r="O152" s="307"/>
      <c r="P152" s="307"/>
      <c r="Q152" s="263"/>
      <c r="R152" s="1129"/>
    </row>
    <row r="153" spans="1:18" ht="30.65" customHeight="1">
      <c r="A153" s="281"/>
      <c r="B153" s="781">
        <v>5820</v>
      </c>
      <c r="C153" s="170" t="s">
        <v>547</v>
      </c>
      <c r="D153" s="186" t="s">
        <v>78</v>
      </c>
      <c r="E153" s="408"/>
      <c r="F153" s="408"/>
      <c r="G153" s="408"/>
      <c r="H153" s="408"/>
      <c r="I153" s="932">
        <v>234.38</v>
      </c>
      <c r="J153" s="183"/>
      <c r="K153" s="1131" t="s">
        <v>412</v>
      </c>
      <c r="L153" s="1128">
        <v>3</v>
      </c>
      <c r="M153" s="58"/>
      <c r="N153" s="307"/>
      <c r="O153" s="307"/>
      <c r="P153" s="307"/>
      <c r="Q153" s="263"/>
      <c r="R153" s="1129"/>
    </row>
    <row r="154" spans="1:18" ht="30.65" customHeight="1">
      <c r="A154" s="281"/>
      <c r="B154" s="781">
        <v>5820</v>
      </c>
      <c r="C154" s="170" t="s">
        <v>937</v>
      </c>
      <c r="D154" s="186" t="s">
        <v>78</v>
      </c>
      <c r="E154" s="408"/>
      <c r="F154" s="408"/>
      <c r="G154" s="408"/>
      <c r="H154" s="408"/>
      <c r="I154" s="932" t="s">
        <v>1038</v>
      </c>
      <c r="J154" s="183"/>
      <c r="K154" s="1131" t="s">
        <v>412</v>
      </c>
      <c r="L154" s="1128">
        <v>3</v>
      </c>
      <c r="M154" s="58"/>
      <c r="N154" s="307"/>
      <c r="O154" s="307"/>
      <c r="P154" s="307"/>
      <c r="Q154" s="263"/>
      <c r="R154" s="1129"/>
    </row>
    <row r="155" spans="1:18" ht="30.65" customHeight="1">
      <c r="A155" s="281"/>
      <c r="B155" s="781">
        <v>5820</v>
      </c>
      <c r="C155" s="170" t="s">
        <v>1039</v>
      </c>
      <c r="D155" s="186" t="s">
        <v>78</v>
      </c>
      <c r="E155" s="408"/>
      <c r="F155" s="408"/>
      <c r="G155" s="408"/>
      <c r="H155" s="408"/>
      <c r="I155" s="932" t="s">
        <v>1038</v>
      </c>
      <c r="J155" s="183"/>
      <c r="K155" s="1131" t="s">
        <v>398</v>
      </c>
      <c r="L155" s="1128">
        <v>1</v>
      </c>
      <c r="M155" s="58"/>
      <c r="N155" s="307"/>
      <c r="O155" s="307"/>
      <c r="P155" s="307"/>
      <c r="Q155" s="263"/>
      <c r="R155" s="1129"/>
    </row>
    <row r="156" spans="1:18" ht="30.65" customHeight="1">
      <c r="A156" s="281"/>
      <c r="B156" s="781">
        <v>5820</v>
      </c>
      <c r="C156" s="170" t="s">
        <v>1040</v>
      </c>
      <c r="D156" s="186" t="s">
        <v>78</v>
      </c>
      <c r="E156" s="408"/>
      <c r="F156" s="408"/>
      <c r="G156" s="408"/>
      <c r="H156" s="408"/>
      <c r="I156" s="932" t="s">
        <v>1038</v>
      </c>
      <c r="J156" s="183"/>
      <c r="K156" s="1131" t="s">
        <v>412</v>
      </c>
      <c r="L156" s="1128">
        <v>1</v>
      </c>
      <c r="M156" s="58"/>
      <c r="N156" s="307"/>
      <c r="O156" s="307"/>
      <c r="P156" s="307"/>
      <c r="Q156" s="263"/>
      <c r="R156" s="1129"/>
    </row>
    <row r="157" spans="1:18" ht="30.65" customHeight="1">
      <c r="A157" s="281"/>
      <c r="B157" s="781">
        <v>5820</v>
      </c>
      <c r="C157" s="170" t="s">
        <v>1041</v>
      </c>
      <c r="D157" s="186" t="s">
        <v>78</v>
      </c>
      <c r="E157" s="408"/>
      <c r="F157" s="408"/>
      <c r="G157" s="408"/>
      <c r="H157" s="408"/>
      <c r="I157" s="932">
        <v>780</v>
      </c>
      <c r="J157" s="183"/>
      <c r="K157" s="1131" t="s">
        <v>412</v>
      </c>
      <c r="L157" s="1128">
        <v>3</v>
      </c>
      <c r="M157" s="58"/>
      <c r="N157" s="307"/>
      <c r="O157" s="307"/>
      <c r="P157" s="307"/>
      <c r="Q157" s="263"/>
      <c r="R157" s="1129"/>
    </row>
    <row r="158" spans="1:18" ht="30.65" customHeight="1">
      <c r="A158" s="281"/>
      <c r="B158" s="781">
        <v>5820</v>
      </c>
      <c r="C158" s="170" t="s">
        <v>1042</v>
      </c>
      <c r="D158" s="186" t="s">
        <v>78</v>
      </c>
      <c r="E158" s="408"/>
      <c r="F158" s="408"/>
      <c r="G158" s="408"/>
      <c r="H158" s="408"/>
      <c r="I158" s="932">
        <v>781.25</v>
      </c>
      <c r="J158" s="183"/>
      <c r="K158" s="1131" t="s">
        <v>412</v>
      </c>
      <c r="L158" s="1128">
        <v>1</v>
      </c>
      <c r="M158" s="58"/>
      <c r="N158" s="307"/>
      <c r="O158" s="307"/>
      <c r="P158" s="307"/>
      <c r="Q158" s="263"/>
      <c r="R158" s="1129"/>
    </row>
    <row r="159" spans="1:18" ht="30.65" customHeight="1">
      <c r="A159" s="281"/>
      <c r="B159" s="781">
        <v>5820</v>
      </c>
      <c r="C159" s="170" t="s">
        <v>1043</v>
      </c>
      <c r="D159" s="186" t="s">
        <v>78</v>
      </c>
      <c r="E159" s="408"/>
      <c r="F159" s="408"/>
      <c r="G159" s="408"/>
      <c r="H159" s="408"/>
      <c r="I159" s="932" t="s">
        <v>1038</v>
      </c>
      <c r="J159" s="183"/>
      <c r="K159" s="1131" t="s">
        <v>412</v>
      </c>
      <c r="L159" s="1128">
        <v>2</v>
      </c>
      <c r="M159" s="58"/>
      <c r="N159" s="307"/>
      <c r="O159" s="307"/>
      <c r="P159" s="307"/>
      <c r="Q159" s="263"/>
      <c r="R159" s="1129"/>
    </row>
    <row r="160" spans="1:18" ht="30.65" customHeight="1">
      <c r="A160" s="281"/>
      <c r="B160" s="781">
        <v>5820</v>
      </c>
      <c r="C160" s="170" t="s">
        <v>944</v>
      </c>
      <c r="D160" s="186" t="s">
        <v>78</v>
      </c>
      <c r="E160" s="408"/>
      <c r="F160" s="408"/>
      <c r="G160" s="408"/>
      <c r="H160" s="408"/>
      <c r="I160" s="932">
        <v>195.31</v>
      </c>
      <c r="J160" s="183"/>
      <c r="K160" s="1131" t="s">
        <v>412</v>
      </c>
      <c r="L160" s="1128">
        <v>1</v>
      </c>
      <c r="M160" s="58"/>
      <c r="N160" s="307"/>
      <c r="O160" s="307"/>
      <c r="P160" s="307"/>
      <c r="Q160" s="263"/>
      <c r="R160" s="1129"/>
    </row>
    <row r="161" spans="1:21" ht="30.65" customHeight="1">
      <c r="A161" s="281"/>
      <c r="B161" s="781">
        <v>5820</v>
      </c>
      <c r="C161" s="170" t="s">
        <v>413</v>
      </c>
      <c r="D161" s="186" t="s">
        <v>78</v>
      </c>
      <c r="E161" s="408"/>
      <c r="F161" s="408"/>
      <c r="G161" s="408"/>
      <c r="H161" s="408"/>
      <c r="I161" s="932">
        <v>781.25</v>
      </c>
      <c r="J161" s="183"/>
      <c r="K161" s="1131" t="s">
        <v>398</v>
      </c>
      <c r="L161" s="1128">
        <v>1</v>
      </c>
      <c r="M161" s="58"/>
      <c r="N161" s="307"/>
      <c r="O161" s="307"/>
      <c r="P161" s="307"/>
      <c r="Q161" s="263"/>
      <c r="R161" s="1129"/>
    </row>
    <row r="162" spans="1:21" ht="30.65" customHeight="1">
      <c r="A162" s="281"/>
      <c r="B162" s="781">
        <v>5820</v>
      </c>
      <c r="C162" s="170" t="s">
        <v>415</v>
      </c>
      <c r="D162" s="186" t="s">
        <v>78</v>
      </c>
      <c r="E162" s="408"/>
      <c r="F162" s="408"/>
      <c r="G162" s="408"/>
      <c r="H162" s="408"/>
      <c r="I162" s="932">
        <v>781.25</v>
      </c>
      <c r="J162" s="183"/>
      <c r="K162" s="1131" t="s">
        <v>414</v>
      </c>
      <c r="L162" s="1128">
        <v>1</v>
      </c>
      <c r="M162" s="58"/>
      <c r="N162" s="307"/>
      <c r="O162" s="307"/>
      <c r="P162" s="307"/>
      <c r="Q162" s="263"/>
      <c r="R162" s="1129"/>
    </row>
    <row r="163" spans="1:21" ht="30.65" customHeight="1">
      <c r="A163" s="281"/>
      <c r="B163" s="781">
        <v>5608</v>
      </c>
      <c r="C163" s="170" t="s">
        <v>1044</v>
      </c>
      <c r="D163" s="186" t="s">
        <v>78</v>
      </c>
      <c r="E163" s="62"/>
      <c r="F163" s="408"/>
      <c r="G163" s="408"/>
      <c r="H163" s="408"/>
      <c r="I163" s="932">
        <v>781.25</v>
      </c>
      <c r="J163" s="183"/>
      <c r="K163" s="1131" t="s">
        <v>414</v>
      </c>
      <c r="L163" s="1128">
        <v>1</v>
      </c>
      <c r="M163" s="58"/>
      <c r="N163" s="307"/>
      <c r="O163" s="307"/>
      <c r="P163" s="307"/>
      <c r="Q163" s="263"/>
      <c r="R163" s="1129"/>
    </row>
    <row r="164" spans="1:21" ht="30.65" customHeight="1">
      <c r="A164" s="281"/>
      <c r="B164" s="781">
        <v>5820</v>
      </c>
      <c r="C164" s="170" t="s">
        <v>1045</v>
      </c>
      <c r="D164" s="186" t="s">
        <v>78</v>
      </c>
      <c r="E164" s="408"/>
      <c r="F164" s="408"/>
      <c r="G164" s="62"/>
      <c r="H164" s="63"/>
      <c r="I164" s="932">
        <v>546.88</v>
      </c>
      <c r="J164" s="183"/>
      <c r="K164" s="1131" t="s">
        <v>412</v>
      </c>
      <c r="L164" s="1128">
        <v>2</v>
      </c>
      <c r="M164" s="58"/>
      <c r="N164" s="307"/>
      <c r="O164" s="307"/>
      <c r="P164" s="307"/>
      <c r="Q164" s="263"/>
      <c r="R164" s="1129"/>
    </row>
    <row r="165" spans="1:21" ht="18.5">
      <c r="A165" s="383"/>
      <c r="B165" s="65"/>
      <c r="C165" s="81"/>
      <c r="D165" s="120"/>
      <c r="E165" s="67"/>
      <c r="F165" s="67"/>
      <c r="G165" s="67"/>
      <c r="H165" s="66"/>
      <c r="I165" s="926">
        <f>SUM(I151:I164)</f>
        <v>7772.2000000000007</v>
      </c>
      <c r="J165" s="358"/>
      <c r="K165" s="111"/>
      <c r="L165" s="440">
        <f>SUM(L151:L164)</f>
        <v>23</v>
      </c>
      <c r="M165" s="274"/>
      <c r="N165" s="142"/>
      <c r="O165" s="432"/>
      <c r="P165" s="433"/>
      <c r="Q165" s="352">
        <f>SUM(Q151:Q164)</f>
        <v>0</v>
      </c>
      <c r="R165" s="70">
        <f>SUM(R151:R164)</f>
        <v>0</v>
      </c>
    </row>
    <row r="166" spans="1:21" ht="30.65" customHeight="1">
      <c r="A166" s="264"/>
      <c r="B166" s="1130"/>
      <c r="C166" s="152" t="s">
        <v>420</v>
      </c>
      <c r="D166" s="64"/>
      <c r="E166" s="64"/>
      <c r="F166" s="64"/>
      <c r="G166" s="129"/>
      <c r="H166" s="130"/>
      <c r="I166" s="933">
        <v>224500</v>
      </c>
      <c r="J166" s="140"/>
      <c r="K166" s="265"/>
      <c r="L166" s="266"/>
      <c r="M166" s="267"/>
      <c r="N166" s="141"/>
      <c r="O166" s="282"/>
      <c r="P166" s="283"/>
      <c r="Q166" s="351"/>
      <c r="R166" s="489"/>
    </row>
    <row r="167" spans="1:21" s="451" customFormat="1" ht="35.25" customHeight="1" thickBot="1">
      <c r="A167" s="268" t="s">
        <v>437</v>
      </c>
      <c r="B167" s="269"/>
      <c r="C167" s="270"/>
      <c r="D167" s="270"/>
      <c r="E167" s="1352" t="s">
        <v>1046</v>
      </c>
      <c r="F167" s="1353"/>
      <c r="G167" s="1353"/>
      <c r="H167" s="1354"/>
      <c r="I167" s="934">
        <f>I5+I131</f>
        <v>1894339.08</v>
      </c>
      <c r="J167" s="137"/>
      <c r="K167" s="447"/>
      <c r="L167" s="448"/>
      <c r="M167" s="449"/>
      <c r="N167" s="118"/>
      <c r="O167" s="450"/>
      <c r="P167" s="450"/>
      <c r="Q167" s="349">
        <f>Q5+Q131</f>
        <v>0</v>
      </c>
      <c r="R167" s="271">
        <f>R5+R131</f>
        <v>0</v>
      </c>
      <c r="S167"/>
      <c r="T167"/>
      <c r="U167"/>
    </row>
    <row r="168" spans="1:21" ht="31">
      <c r="A168" s="1108"/>
      <c r="B168" s="1108"/>
      <c r="C168" s="1108"/>
      <c r="D168" s="1132" t="s">
        <v>439</v>
      </c>
      <c r="E168" s="159"/>
      <c r="F168" s="159"/>
      <c r="G168" s="159"/>
      <c r="H168" s="1133"/>
      <c r="I168" s="1134"/>
      <c r="J168" s="1136"/>
      <c r="K168" s="1136"/>
      <c r="L168" s="1136"/>
      <c r="M168" s="1108"/>
      <c r="N168" s="1108"/>
      <c r="O168" s="162" t="s">
        <v>440</v>
      </c>
      <c r="P168" s="660">
        <f>IFERROR(AVERAGE(N7:N15,N18:N18,N20:N23, N25:N27,N31:N33,N36:N38,N40:N41,N43:N45,N49:N55,N57:N62,N64:N70,N73:N76,N78:N82,N84:N87,N90:N92,N94:N97,N101:N103,N105:N109,N112:N120,N123:N129),"")</f>
        <v>0.64847896006432615</v>
      </c>
      <c r="Q168" s="163" t="s">
        <v>441</v>
      </c>
      <c r="R168" s="160"/>
    </row>
    <row r="169" spans="1:21" ht="32.25" customHeight="1">
      <c r="A169" s="1108"/>
      <c r="B169" s="1108"/>
      <c r="C169" s="1108"/>
      <c r="D169" s="1137" t="s">
        <v>442</v>
      </c>
      <c r="E169" s="164"/>
      <c r="F169" s="164"/>
      <c r="G169" s="164"/>
      <c r="H169" s="1138"/>
      <c r="I169" s="1138"/>
      <c r="J169" s="1139"/>
      <c r="K169" s="1136"/>
      <c r="L169" s="1136"/>
      <c r="M169" s="1108"/>
      <c r="N169" s="1108"/>
      <c r="O169" s="1108"/>
      <c r="P169" s="1108"/>
      <c r="Q169" s="1108"/>
      <c r="R169" s="1108"/>
    </row>
    <row r="172" spans="1:21" ht="15" customHeight="1">
      <c r="A172" s="1108"/>
      <c r="B172" s="1108"/>
      <c r="C172" s="1108"/>
      <c r="D172" s="1108"/>
      <c r="J172" s="1139"/>
      <c r="K172" s="1108"/>
      <c r="L172" s="1108"/>
      <c r="M172" s="1108"/>
      <c r="N172" s="1108"/>
      <c r="O172" s="1108"/>
      <c r="P172" s="1108"/>
      <c r="Q172" s="1108"/>
      <c r="R172" s="1108"/>
    </row>
    <row r="173" spans="1:21" ht="15" customHeight="1">
      <c r="A173" s="1108"/>
      <c r="B173" s="1108"/>
      <c r="C173" s="1108"/>
      <c r="D173" s="1108"/>
      <c r="J173" s="1139"/>
      <c r="K173" s="1108"/>
      <c r="L173" s="1108"/>
      <c r="M173" s="1108"/>
      <c r="N173" s="1108"/>
      <c r="O173" s="1108"/>
      <c r="P173" s="1108"/>
      <c r="Q173" s="1108"/>
      <c r="R173" s="1108"/>
    </row>
    <row r="174" spans="1:21">
      <c r="A174" s="1108"/>
      <c r="B174" s="1108"/>
      <c r="C174" s="1108"/>
      <c r="D174" s="1108"/>
      <c r="J174" s="1139"/>
      <c r="K174" s="1108"/>
      <c r="L174" s="1108"/>
      <c r="M174" s="1108"/>
      <c r="N174" s="1108"/>
      <c r="O174" s="1108"/>
      <c r="P174" s="1108"/>
      <c r="Q174" s="1108"/>
      <c r="R174" s="1108"/>
    </row>
    <row r="175" spans="1:21">
      <c r="A175" s="390"/>
      <c r="B175" s="1108"/>
      <c r="C175" s="1108"/>
      <c r="D175" s="1108"/>
      <c r="J175" s="1139"/>
      <c r="K175" s="1108"/>
      <c r="L175" s="1108"/>
      <c r="M175" s="1108"/>
      <c r="N175" s="1108"/>
      <c r="O175" s="1108"/>
      <c r="P175" s="1108"/>
      <c r="Q175" s="1108"/>
      <c r="R175" s="1108"/>
    </row>
    <row r="176" spans="1:21">
      <c r="A176" s="1108"/>
      <c r="B176" s="1108"/>
      <c r="C176" s="1108"/>
      <c r="D176" s="1108"/>
      <c r="J176" s="1139"/>
      <c r="K176" s="1108"/>
      <c r="L176" s="1108"/>
      <c r="M176" s="1108"/>
      <c r="N176" s="1108"/>
      <c r="O176" s="1108"/>
      <c r="P176" s="1108"/>
      <c r="Q176" s="1108"/>
      <c r="R176" s="1108"/>
    </row>
    <row r="177" spans="1:18">
      <c r="A177" s="1108"/>
      <c r="B177" s="1108"/>
      <c r="C177" s="1108"/>
      <c r="D177" s="1108"/>
      <c r="J177" s="1139"/>
      <c r="K177" s="1108"/>
      <c r="L177" s="1108"/>
      <c r="M177" s="1108"/>
      <c r="N177" s="1108"/>
      <c r="O177" s="1108"/>
      <c r="P177" s="1108"/>
      <c r="Q177" s="1108"/>
      <c r="R177" s="1108"/>
    </row>
    <row r="179" spans="1:18">
      <c r="A179" s="1108"/>
      <c r="B179" s="1108"/>
      <c r="C179" s="1108"/>
      <c r="D179" s="1108"/>
      <c r="J179" s="1139"/>
      <c r="K179" s="1108"/>
      <c r="L179" s="1108"/>
      <c r="M179" s="1108"/>
      <c r="N179" s="1108"/>
      <c r="O179" s="1108"/>
      <c r="P179" s="1108"/>
      <c r="Q179" s="1108"/>
      <c r="R179" s="1108"/>
    </row>
    <row r="180" spans="1:18">
      <c r="A180" s="1108"/>
      <c r="B180" s="1108"/>
      <c r="C180" s="1108"/>
      <c r="D180" s="1108"/>
      <c r="J180" s="1139"/>
      <c r="K180" s="1108"/>
      <c r="L180" s="1108"/>
      <c r="M180" s="1108"/>
      <c r="N180" s="1108"/>
      <c r="O180" s="1108"/>
      <c r="P180" s="1108"/>
      <c r="Q180" s="1108"/>
      <c r="R180" s="1108"/>
    </row>
  </sheetData>
  <sheetProtection formatCells="0" formatColumns="0" formatRows="0" insertRows="0" deleteRows="0" selectLockedCells="1" sort="0"/>
  <mergeCells count="64">
    <mergeCell ref="O3:O4"/>
    <mergeCell ref="O112:O120"/>
    <mergeCell ref="B3:B4"/>
    <mergeCell ref="D3:D4"/>
    <mergeCell ref="L3:L4"/>
    <mergeCell ref="M3:M4"/>
    <mergeCell ref="N3:N4"/>
    <mergeCell ref="A5:B5"/>
    <mergeCell ref="A29:H29"/>
    <mergeCell ref="A99:H99"/>
    <mergeCell ref="A31:A34"/>
    <mergeCell ref="O31:O33"/>
    <mergeCell ref="O101:O109"/>
    <mergeCell ref="A100:D100"/>
    <mergeCell ref="A30:D30"/>
    <mergeCell ref="A47:C47"/>
    <mergeCell ref="AH4:AH5"/>
    <mergeCell ref="P3:P4"/>
    <mergeCell ref="Q3:R3"/>
    <mergeCell ref="W3:Z3"/>
    <mergeCell ref="AB3:AE3"/>
    <mergeCell ref="W4:W5"/>
    <mergeCell ref="X4:X5"/>
    <mergeCell ref="Y4:Y5"/>
    <mergeCell ref="Z4:Z5"/>
    <mergeCell ref="AA4:AA5"/>
    <mergeCell ref="AB4:AB5"/>
    <mergeCell ref="AC4:AC5"/>
    <mergeCell ref="AD4:AD5"/>
    <mergeCell ref="AE4:AE5"/>
    <mergeCell ref="AF4:AF5"/>
    <mergeCell ref="AG4:AG5"/>
    <mergeCell ref="T5:U5"/>
    <mergeCell ref="A7:A16"/>
    <mergeCell ref="O7:O15"/>
    <mergeCell ref="P7:P27"/>
    <mergeCell ref="A18:A19"/>
    <mergeCell ref="O18:O27"/>
    <mergeCell ref="A20:A24"/>
    <mergeCell ref="A25:A28"/>
    <mergeCell ref="A6:C6"/>
    <mergeCell ref="P31:P45"/>
    <mergeCell ref="A36:A39"/>
    <mergeCell ref="O36:O45"/>
    <mergeCell ref="A40:A42"/>
    <mergeCell ref="A43:A46"/>
    <mergeCell ref="P101:P129"/>
    <mergeCell ref="A105:A110"/>
    <mergeCell ref="A112:A121"/>
    <mergeCell ref="A123:A130"/>
    <mergeCell ref="O123:O129"/>
    <mergeCell ref="A111:D111"/>
    <mergeCell ref="A122:D122"/>
    <mergeCell ref="A133:A149"/>
    <mergeCell ref="E167:H167"/>
    <mergeCell ref="A101:A104"/>
    <mergeCell ref="A64:A71"/>
    <mergeCell ref="A57:A63"/>
    <mergeCell ref="A73:A77"/>
    <mergeCell ref="A78:A83"/>
    <mergeCell ref="A84:A88"/>
    <mergeCell ref="A90:A93"/>
    <mergeCell ref="A94:A98"/>
    <mergeCell ref="A72:C72"/>
  </mergeCells>
  <conditionalFormatting sqref="D7:D14 D112:D119">
    <cfRule type="cellIs" priority="13" operator="greaterThan">
      <formula>0</formula>
    </cfRule>
  </conditionalFormatting>
  <conditionalFormatting sqref="D18">
    <cfRule type="cellIs" priority="10" operator="greaterThan">
      <formula>0</formula>
    </cfRule>
  </conditionalFormatting>
  <conditionalFormatting sqref="D25:D26">
    <cfRule type="cellIs" priority="9" operator="greaterThan">
      <formula>0</formula>
    </cfRule>
  </conditionalFormatting>
  <conditionalFormatting sqref="D31">
    <cfRule type="cellIs" priority="12" operator="greaterThan">
      <formula>0</formula>
    </cfRule>
  </conditionalFormatting>
  <conditionalFormatting sqref="D36:D37">
    <cfRule type="cellIs" priority="3" operator="greaterThan">
      <formula>0</formula>
    </cfRule>
  </conditionalFormatting>
  <conditionalFormatting sqref="D40:D41">
    <cfRule type="cellIs" priority="2" operator="greaterThan">
      <formula>0</formula>
    </cfRule>
  </conditionalFormatting>
  <conditionalFormatting sqref="D43:D44">
    <cfRule type="cellIs" priority="1" operator="greaterThan">
      <formula>0</formula>
    </cfRule>
  </conditionalFormatting>
  <conditionalFormatting sqref="D49:D50">
    <cfRule type="cellIs" priority="17" operator="greaterThan">
      <formula>0</formula>
    </cfRule>
  </conditionalFormatting>
  <conditionalFormatting sqref="D57">
    <cfRule type="cellIs" priority="16" operator="greaterThan">
      <formula>0</formula>
    </cfRule>
  </conditionalFormatting>
  <conditionalFormatting sqref="D64">
    <cfRule type="cellIs" priority="8" operator="greaterThan">
      <formula>0</formula>
    </cfRule>
  </conditionalFormatting>
  <conditionalFormatting sqref="D73:D74">
    <cfRule type="cellIs" priority="11" operator="greaterThan">
      <formula>0</formula>
    </cfRule>
  </conditionalFormatting>
  <conditionalFormatting sqref="D78:D80">
    <cfRule type="cellIs" priority="15" operator="greaterThan">
      <formula>0</formula>
    </cfRule>
  </conditionalFormatting>
  <conditionalFormatting sqref="D84:D85">
    <cfRule type="cellIs" priority="7" operator="greaterThan">
      <formula>0</formula>
    </cfRule>
  </conditionalFormatting>
  <conditionalFormatting sqref="D90:D91">
    <cfRule type="cellIs" priority="6" operator="greaterThan">
      <formula>0</formula>
    </cfRule>
  </conditionalFormatting>
  <conditionalFormatting sqref="D94:D95">
    <cfRule type="cellIs" priority="5" operator="greaterThan">
      <formula>0</formula>
    </cfRule>
  </conditionalFormatting>
  <conditionalFormatting sqref="D101">
    <cfRule type="cellIs" priority="18" operator="greaterThan">
      <formula>0</formula>
    </cfRule>
  </conditionalFormatting>
  <conditionalFormatting sqref="D105:D107">
    <cfRule type="cellIs" priority="14" operator="greaterThan">
      <formula>0</formula>
    </cfRule>
  </conditionalFormatting>
  <conditionalFormatting sqref="D123:D129">
    <cfRule type="cellIs" priority="4" operator="greaterThan">
      <formula>0</formula>
    </cfRule>
  </conditionalFormatting>
  <pageMargins left="0.75" right="0.75" top="1" bottom="1" header="0.5" footer="0.5"/>
  <pageSetup paperSize="9" fitToHeight="0" orientation="landscape" horizontalDpi="300" r:id="rId1"/>
  <ignoredErrors>
    <ignoredError sqref="N56 N63" formula="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A0A7-A06B-4EC5-92F1-C21765FED0D7}">
  <sheetPr>
    <tabColor rgb="FFFFFFCC"/>
  </sheetPr>
  <dimension ref="A1:AH179"/>
  <sheetViews>
    <sheetView zoomScale="80" zoomScaleNormal="80" workbookViewId="0">
      <pane xSplit="3" ySplit="7" topLeftCell="D67" activePane="bottomRight" state="frozen"/>
      <selection pane="topRight" activeCell="D1" sqref="D1"/>
      <selection pane="bottomLeft" activeCell="A8" sqref="A8"/>
      <selection pane="bottomRight" activeCell="C70" sqref="C70"/>
    </sheetView>
  </sheetViews>
  <sheetFormatPr defaultColWidth="9.08984375" defaultRowHeight="14.5"/>
  <cols>
    <col min="1" max="1" width="34.90625" style="5" customWidth="1"/>
    <col min="2" max="2" width="5.7265625" style="5" customWidth="1"/>
    <col min="3" max="3" width="50.36328125" style="5" customWidth="1"/>
    <col min="4" max="4" width="17.6328125" style="5" customWidth="1"/>
    <col min="5" max="8" width="5.08984375" style="6" customWidth="1"/>
    <col min="9" max="9" width="13.36328125" style="6" customWidth="1"/>
    <col min="10" max="10" width="7.7265625" style="7" customWidth="1"/>
    <col min="11" max="11" width="15.7265625" style="5" customWidth="1"/>
    <col min="12" max="12" width="11" style="5" customWidth="1"/>
    <col min="13" max="13" width="12.90625" style="5" customWidth="1"/>
    <col min="14" max="14" width="17.7265625" style="5" customWidth="1"/>
    <col min="15" max="16" width="20.36328125" style="5" customWidth="1"/>
    <col min="17" max="17" width="24.08984375" style="5" customWidth="1"/>
    <col min="18" max="18" width="16.90625" style="5" customWidth="1"/>
    <col min="21" max="21" width="109.36328125" customWidth="1"/>
    <col min="23" max="23" width="22.26953125" customWidth="1"/>
    <col min="24" max="24" width="22.7265625" customWidth="1"/>
    <col min="25" max="25" width="25.7265625" customWidth="1"/>
    <col min="26" max="26" width="15" customWidth="1"/>
    <col min="27" max="27" width="33.90625" customWidth="1"/>
    <col min="28" max="28" width="14.7265625" customWidth="1"/>
    <col min="29" max="29" width="13.7265625" customWidth="1"/>
    <col min="30" max="30" width="13.36328125" customWidth="1"/>
    <col min="31" max="31" width="34.7265625" customWidth="1"/>
    <col min="32" max="32" width="13.7265625" customWidth="1"/>
    <col min="33" max="33" width="76.90625" customWidth="1"/>
    <col min="34" max="34" width="81.90625" customWidth="1"/>
  </cols>
  <sheetData>
    <row r="1" spans="1:34" ht="21.5" thickBot="1">
      <c r="A1" s="492" t="s">
        <v>1047</v>
      </c>
      <c r="B1" s="493"/>
      <c r="C1" s="1140"/>
      <c r="D1" s="1106"/>
      <c r="E1" s="55"/>
      <c r="F1" s="55"/>
      <c r="G1" s="55"/>
      <c r="H1" s="55"/>
      <c r="I1" s="55"/>
      <c r="J1" s="1107"/>
      <c r="K1" s="1106"/>
      <c r="L1" s="1106"/>
      <c r="M1" s="1106"/>
      <c r="N1" s="1106"/>
      <c r="O1" s="1106"/>
      <c r="P1" s="1106"/>
      <c r="Q1" s="1106"/>
      <c r="R1" s="1106"/>
    </row>
    <row r="2" spans="1:34" ht="21.5" thickBot="1">
      <c r="A2" s="1141"/>
      <c r="B2" s="494" t="s">
        <v>232</v>
      </c>
      <c r="C2" s="495"/>
      <c r="D2" s="146"/>
      <c r="E2" s="147"/>
      <c r="F2" s="147"/>
      <c r="G2" s="147"/>
      <c r="H2" s="147"/>
      <c r="I2" s="147"/>
      <c r="J2" s="146"/>
      <c r="K2" s="146"/>
      <c r="L2" s="148"/>
      <c r="M2" s="149" t="s">
        <v>233</v>
      </c>
      <c r="N2" s="150"/>
      <c r="O2" s="150"/>
      <c r="P2" s="150"/>
      <c r="Q2" s="150"/>
      <c r="R2" s="151"/>
      <c r="T2" s="459" t="s">
        <v>559</v>
      </c>
      <c r="U2" s="460"/>
    </row>
    <row r="3" spans="1:34" ht="31.5" hidden="1" customHeight="1">
      <c r="A3" s="490" t="s">
        <v>234</v>
      </c>
      <c r="B3" s="1383" t="s">
        <v>235</v>
      </c>
      <c r="C3" s="491" t="s">
        <v>236</v>
      </c>
      <c r="D3" s="1326" t="s">
        <v>237</v>
      </c>
      <c r="E3" s="143" t="s">
        <v>238</v>
      </c>
      <c r="F3" s="144"/>
      <c r="G3" s="144"/>
      <c r="H3" s="355"/>
      <c r="I3" s="144" t="s">
        <v>239</v>
      </c>
      <c r="J3" s="138" t="s">
        <v>240</v>
      </c>
      <c r="K3" s="138" t="s">
        <v>241</v>
      </c>
      <c r="L3" s="1328" t="s">
        <v>242</v>
      </c>
      <c r="M3" s="1330" t="s">
        <v>243</v>
      </c>
      <c r="N3" s="1332" t="s">
        <v>244</v>
      </c>
      <c r="O3" s="1334" t="s">
        <v>245</v>
      </c>
      <c r="P3" s="1306" t="s">
        <v>246</v>
      </c>
      <c r="Q3" s="1308" t="s">
        <v>247</v>
      </c>
      <c r="R3" s="1309"/>
      <c r="T3" s="249"/>
      <c r="U3" s="461"/>
      <c r="W3" s="1370" t="s">
        <v>560</v>
      </c>
      <c r="X3" s="1371"/>
      <c r="Y3" s="1371"/>
      <c r="Z3" s="1371"/>
      <c r="AA3" s="477" t="s">
        <v>561</v>
      </c>
      <c r="AB3" s="1365" t="s">
        <v>562</v>
      </c>
      <c r="AC3" s="1365"/>
      <c r="AD3" s="1365"/>
      <c r="AE3" s="1365"/>
      <c r="AF3" s="479" t="s">
        <v>563</v>
      </c>
      <c r="AG3" s="479"/>
      <c r="AH3" s="480"/>
    </row>
    <row r="4" spans="1:34" ht="25.5" hidden="1" customHeight="1">
      <c r="A4" s="248"/>
      <c r="B4" s="1325"/>
      <c r="C4" s="249"/>
      <c r="D4" s="1327"/>
      <c r="E4" s="71" t="s">
        <v>248</v>
      </c>
      <c r="F4" s="72" t="s">
        <v>249</v>
      </c>
      <c r="G4" s="71" t="s">
        <v>250</v>
      </c>
      <c r="H4" s="72" t="s">
        <v>251</v>
      </c>
      <c r="I4" s="354" t="s">
        <v>252</v>
      </c>
      <c r="J4" s="121" t="s">
        <v>254</v>
      </c>
      <c r="K4" s="73" t="s">
        <v>255</v>
      </c>
      <c r="L4" s="1329"/>
      <c r="M4" s="1331"/>
      <c r="N4" s="1333"/>
      <c r="O4" s="1335"/>
      <c r="P4" s="1307"/>
      <c r="Q4" s="193" t="s">
        <v>256</v>
      </c>
      <c r="R4" s="194" t="s">
        <v>257</v>
      </c>
      <c r="T4" s="456" t="s">
        <v>564</v>
      </c>
      <c r="U4" s="457" t="s">
        <v>565</v>
      </c>
      <c r="W4" s="1366" t="s">
        <v>566</v>
      </c>
      <c r="X4" s="1368" t="s">
        <v>567</v>
      </c>
      <c r="Y4" s="1368" t="s">
        <v>568</v>
      </c>
      <c r="Z4" s="1368" t="s">
        <v>569</v>
      </c>
      <c r="AA4" s="1368" t="s">
        <v>570</v>
      </c>
      <c r="AB4" s="1368" t="s">
        <v>571</v>
      </c>
      <c r="AC4" s="1368" t="s">
        <v>572</v>
      </c>
      <c r="AD4" s="1368" t="s">
        <v>573</v>
      </c>
      <c r="AE4" s="1368" t="s">
        <v>574</v>
      </c>
      <c r="AF4" s="1368" t="s">
        <v>575</v>
      </c>
      <c r="AG4" s="1368" t="s">
        <v>576</v>
      </c>
      <c r="AH4" s="1372" t="s">
        <v>577</v>
      </c>
    </row>
    <row r="5" spans="1:34" ht="35.25" hidden="1" customHeight="1">
      <c r="A5" s="309" t="s">
        <v>258</v>
      </c>
      <c r="B5" s="310"/>
      <c r="C5" s="310"/>
      <c r="D5" s="74"/>
      <c r="E5" s="74"/>
      <c r="F5" s="74"/>
      <c r="G5" s="74"/>
      <c r="H5" s="74"/>
      <c r="I5" s="428">
        <f>I6+I30+I48+I99</f>
        <v>1537221</v>
      </c>
      <c r="J5" s="425"/>
      <c r="K5" s="76"/>
      <c r="L5" s="77"/>
      <c r="M5" s="78"/>
      <c r="N5" s="76"/>
      <c r="O5" s="76"/>
      <c r="P5" s="79"/>
      <c r="Q5" s="349">
        <f t="shared" ref="Q5:R5" si="0">Q6+Q30+Q48+Q99</f>
        <v>0</v>
      </c>
      <c r="R5" s="80">
        <f t="shared" si="0"/>
        <v>0</v>
      </c>
      <c r="T5" s="1374" t="s">
        <v>578</v>
      </c>
      <c r="U5" s="1375"/>
      <c r="W5" s="1367"/>
      <c r="X5" s="1369"/>
      <c r="Y5" s="1369"/>
      <c r="Z5" s="1369"/>
      <c r="AA5" s="1369"/>
      <c r="AB5" s="1369"/>
      <c r="AC5" s="1369"/>
      <c r="AD5" s="1369"/>
      <c r="AE5" s="1369"/>
      <c r="AF5" s="1369"/>
      <c r="AG5" s="1369"/>
      <c r="AH5" s="1373"/>
    </row>
    <row r="6" spans="1:34" ht="35.25" hidden="1" customHeight="1">
      <c r="A6" s="339" t="s">
        <v>114</v>
      </c>
      <c r="B6" s="340"/>
      <c r="C6" s="340"/>
      <c r="D6" s="340"/>
      <c r="E6" s="340"/>
      <c r="F6" s="340"/>
      <c r="G6" s="340"/>
      <c r="H6" s="341"/>
      <c r="I6" s="423">
        <f>I7+I18</f>
        <v>359959</v>
      </c>
      <c r="J6" s="426"/>
      <c r="K6" s="343"/>
      <c r="L6" s="344"/>
      <c r="M6" s="345"/>
      <c r="N6" s="346"/>
      <c r="O6" s="346"/>
      <c r="P6" s="347"/>
      <c r="Q6" s="350">
        <f>Q7+Q18</f>
        <v>0</v>
      </c>
      <c r="R6" s="348">
        <f>R7+R18</f>
        <v>0</v>
      </c>
      <c r="T6" s="462" t="s">
        <v>579</v>
      </c>
      <c r="U6" s="463"/>
      <c r="W6" s="484" t="s">
        <v>579</v>
      </c>
      <c r="X6" s="485"/>
      <c r="Y6" s="485"/>
      <c r="Z6" s="485"/>
      <c r="AA6" s="485"/>
      <c r="AB6" s="485"/>
      <c r="AC6" s="485"/>
      <c r="AD6" s="485"/>
      <c r="AE6" s="485"/>
      <c r="AF6" s="485"/>
      <c r="AG6" s="485"/>
      <c r="AH6" s="486"/>
    </row>
    <row r="7" spans="1:34" ht="30.75" customHeight="1">
      <c r="A7" s="360" t="s">
        <v>259</v>
      </c>
      <c r="B7" s="361"/>
      <c r="C7" s="361"/>
      <c r="D7" s="362"/>
      <c r="E7" s="838" t="s">
        <v>248</v>
      </c>
      <c r="F7" s="839" t="s">
        <v>249</v>
      </c>
      <c r="G7" s="839" t="s">
        <v>250</v>
      </c>
      <c r="H7" s="840" t="s">
        <v>251</v>
      </c>
      <c r="I7" s="424">
        <f t="shared" ref="I7" si="1">I17</f>
        <v>48924</v>
      </c>
      <c r="J7" s="427"/>
      <c r="K7" s="367"/>
      <c r="L7" s="368"/>
      <c r="M7" s="369"/>
      <c r="N7" s="370"/>
      <c r="O7" s="371"/>
      <c r="P7" s="372"/>
      <c r="Q7" s="373">
        <f>Q17</f>
        <v>0</v>
      </c>
      <c r="R7" s="374">
        <f>R17</f>
        <v>0</v>
      </c>
      <c r="T7" s="464" t="s">
        <v>580</v>
      </c>
      <c r="U7" s="465"/>
      <c r="W7" s="464" t="s">
        <v>580</v>
      </c>
      <c r="X7" s="465"/>
      <c r="Y7" s="465"/>
      <c r="Z7" s="465"/>
      <c r="AA7" s="465"/>
      <c r="AB7" s="465"/>
      <c r="AC7" s="465"/>
      <c r="AD7" s="465"/>
      <c r="AE7" s="465"/>
      <c r="AF7" s="465"/>
      <c r="AG7" s="465"/>
      <c r="AH7" s="465"/>
    </row>
    <row r="8" spans="1:34" ht="31.5" customHeight="1">
      <c r="A8" s="1382" t="s">
        <v>581</v>
      </c>
      <c r="B8" s="168">
        <f>'AWPB Yr 5'!B129+1</f>
        <v>1</v>
      </c>
      <c r="C8" s="180" t="s">
        <v>261</v>
      </c>
      <c r="D8" s="820" t="s">
        <v>582</v>
      </c>
      <c r="E8" s="889" t="s">
        <v>967</v>
      </c>
      <c r="F8" s="841" t="s">
        <v>967</v>
      </c>
      <c r="G8" s="841" t="s">
        <v>967</v>
      </c>
      <c r="H8" s="889" t="s">
        <v>967</v>
      </c>
      <c r="I8" s="774">
        <v>2965</v>
      </c>
      <c r="J8" s="182"/>
      <c r="K8" s="110" t="s">
        <v>946</v>
      </c>
      <c r="L8" s="172">
        <v>1</v>
      </c>
      <c r="M8" s="58"/>
      <c r="N8" s="108">
        <f>IF(L8,MIN(1,M8/L8),"")</f>
        <v>0</v>
      </c>
      <c r="O8" s="1312"/>
      <c r="P8" s="1314"/>
      <c r="Q8" s="57"/>
      <c r="R8" s="257"/>
      <c r="T8" s="466" t="s">
        <v>583</v>
      </c>
      <c r="U8" s="497" t="s">
        <v>1048</v>
      </c>
      <c r="W8" s="500" t="s">
        <v>412</v>
      </c>
      <c r="X8" s="501" t="s">
        <v>412</v>
      </c>
      <c r="Y8" s="501" t="s">
        <v>412</v>
      </c>
      <c r="Z8" s="502" t="s">
        <v>412</v>
      </c>
      <c r="AA8" s="503" t="s">
        <v>412</v>
      </c>
      <c r="AB8" s="501" t="s">
        <v>412</v>
      </c>
      <c r="AC8" s="501" t="s">
        <v>412</v>
      </c>
      <c r="AD8" s="501" t="s">
        <v>412</v>
      </c>
      <c r="AE8" s="504" t="s">
        <v>412</v>
      </c>
      <c r="AF8" s="505" t="s">
        <v>585</v>
      </c>
      <c r="AG8" s="498" t="s">
        <v>950</v>
      </c>
      <c r="AH8" s="499" t="s">
        <v>587</v>
      </c>
    </row>
    <row r="9" spans="1:34" ht="31.5" customHeight="1">
      <c r="A9" s="1302"/>
      <c r="B9" s="353">
        <f>B8+1</f>
        <v>2</v>
      </c>
      <c r="C9" s="181" t="s">
        <v>262</v>
      </c>
      <c r="D9" s="821" t="s">
        <v>588</v>
      </c>
      <c r="E9" s="889" t="s">
        <v>967</v>
      </c>
      <c r="F9" s="889" t="s">
        <v>967</v>
      </c>
      <c r="G9" s="889" t="s">
        <v>967</v>
      </c>
      <c r="H9" s="889" t="s">
        <v>967</v>
      </c>
      <c r="I9" s="356"/>
      <c r="J9" s="183"/>
      <c r="K9" s="110"/>
      <c r="L9" s="172"/>
      <c r="M9" s="58"/>
      <c r="N9" s="108" t="str">
        <f t="shared" ref="N9:N16" si="2">IF(L9,MIN(1,M9/L9),"")</f>
        <v/>
      </c>
      <c r="O9" s="1313"/>
      <c r="P9" s="1315"/>
      <c r="Q9" s="57"/>
      <c r="R9" s="257"/>
      <c r="T9" s="466" t="s">
        <v>589</v>
      </c>
      <c r="U9" s="497"/>
      <c r="W9" s="500"/>
      <c r="X9" s="501"/>
      <c r="Y9" s="501"/>
      <c r="Z9" s="502"/>
      <c r="AA9" s="503"/>
      <c r="AB9" s="501"/>
      <c r="AC9" s="501"/>
      <c r="AD9" s="501"/>
      <c r="AE9" s="504"/>
      <c r="AF9" s="505"/>
      <c r="AG9" s="498"/>
      <c r="AH9" s="499"/>
    </row>
    <row r="10" spans="1:34" ht="31.5" customHeight="1">
      <c r="A10" s="1302"/>
      <c r="B10" s="353">
        <f t="shared" ref="B10:B16" si="3">B9+1</f>
        <v>3</v>
      </c>
      <c r="C10" s="181" t="s">
        <v>263</v>
      </c>
      <c r="D10" s="821" t="s">
        <v>582</v>
      </c>
      <c r="E10" s="841" t="s">
        <v>967</v>
      </c>
      <c r="F10" s="841" t="s">
        <v>967</v>
      </c>
      <c r="G10" s="841" t="s">
        <v>967</v>
      </c>
      <c r="H10" s="841" t="s">
        <v>967</v>
      </c>
      <c r="I10" s="774">
        <v>11261</v>
      </c>
      <c r="J10" s="183"/>
      <c r="K10" s="110" t="s">
        <v>946</v>
      </c>
      <c r="L10" s="172">
        <v>5</v>
      </c>
      <c r="M10" s="58"/>
      <c r="N10" s="108">
        <f t="shared" si="2"/>
        <v>0</v>
      </c>
      <c r="O10" s="1313"/>
      <c r="P10" s="1315"/>
      <c r="Q10" s="57"/>
      <c r="R10" s="257"/>
      <c r="T10" s="466" t="s">
        <v>590</v>
      </c>
      <c r="U10" s="497" t="s">
        <v>1049</v>
      </c>
      <c r="W10" s="500" t="s">
        <v>412</v>
      </c>
      <c r="X10" s="501" t="s">
        <v>412</v>
      </c>
      <c r="Y10" s="501" t="s">
        <v>412</v>
      </c>
      <c r="Z10" s="502" t="s">
        <v>412</v>
      </c>
      <c r="AA10" s="503" t="s">
        <v>412</v>
      </c>
      <c r="AB10" s="501" t="s">
        <v>412</v>
      </c>
      <c r="AC10" s="501" t="s">
        <v>412</v>
      </c>
      <c r="AD10" s="501" t="s">
        <v>412</v>
      </c>
      <c r="AE10" s="504" t="s">
        <v>412</v>
      </c>
      <c r="AF10" s="505" t="s">
        <v>585</v>
      </c>
      <c r="AG10" s="498" t="s">
        <v>950</v>
      </c>
      <c r="AH10" s="499" t="s">
        <v>587</v>
      </c>
    </row>
    <row r="11" spans="1:34" ht="31.5" customHeight="1">
      <c r="A11" s="1302"/>
      <c r="B11" s="353">
        <f t="shared" si="3"/>
        <v>4</v>
      </c>
      <c r="C11" s="181" t="s">
        <v>264</v>
      </c>
      <c r="D11" s="821" t="s">
        <v>582</v>
      </c>
      <c r="E11" s="841" t="s">
        <v>967</v>
      </c>
      <c r="F11" s="841" t="s">
        <v>967</v>
      </c>
      <c r="G11" s="841" t="s">
        <v>967</v>
      </c>
      <c r="H11" s="841" t="s">
        <v>967</v>
      </c>
      <c r="I11" s="774">
        <v>6923</v>
      </c>
      <c r="J11" s="183"/>
      <c r="K11" s="110" t="s">
        <v>592</v>
      </c>
      <c r="L11" s="172">
        <v>1</v>
      </c>
      <c r="M11" s="58"/>
      <c r="N11" s="108">
        <f t="shared" si="2"/>
        <v>0</v>
      </c>
      <c r="O11" s="1313"/>
      <c r="P11" s="1315"/>
      <c r="Q11" s="57"/>
      <c r="R11" s="257"/>
      <c r="T11" s="466" t="s">
        <v>593</v>
      </c>
      <c r="U11" s="497" t="s">
        <v>1050</v>
      </c>
      <c r="W11" s="500" t="s">
        <v>412</v>
      </c>
      <c r="X11" s="501" t="s">
        <v>412</v>
      </c>
      <c r="Y11" s="501" t="s">
        <v>412</v>
      </c>
      <c r="Z11" s="502" t="s">
        <v>412</v>
      </c>
      <c r="AA11" s="503" t="s">
        <v>412</v>
      </c>
      <c r="AB11" s="501" t="s">
        <v>412</v>
      </c>
      <c r="AC11" s="501" t="s">
        <v>412</v>
      </c>
      <c r="AD11" s="501" t="s">
        <v>412</v>
      </c>
      <c r="AE11" s="504" t="s">
        <v>412</v>
      </c>
      <c r="AF11" s="505" t="s">
        <v>585</v>
      </c>
      <c r="AG11" s="498" t="s">
        <v>950</v>
      </c>
      <c r="AH11" s="499" t="s">
        <v>587</v>
      </c>
    </row>
    <row r="12" spans="1:34" ht="31.5" customHeight="1">
      <c r="A12" s="1302"/>
      <c r="B12" s="353">
        <f t="shared" si="3"/>
        <v>5</v>
      </c>
      <c r="C12" s="181" t="s">
        <v>265</v>
      </c>
      <c r="D12" s="821" t="s">
        <v>595</v>
      </c>
      <c r="E12" s="841" t="s">
        <v>967</v>
      </c>
      <c r="F12" s="841" t="s">
        <v>967</v>
      </c>
      <c r="G12" s="841" t="s">
        <v>967</v>
      </c>
      <c r="H12" s="841" t="s">
        <v>967</v>
      </c>
      <c r="I12" s="774">
        <v>2692</v>
      </c>
      <c r="J12" s="183"/>
      <c r="K12" s="110" t="s">
        <v>592</v>
      </c>
      <c r="L12" s="172">
        <v>2</v>
      </c>
      <c r="M12" s="58"/>
      <c r="N12" s="108">
        <f t="shared" si="2"/>
        <v>0</v>
      </c>
      <c r="O12" s="1313"/>
      <c r="P12" s="1315"/>
      <c r="Q12" s="57"/>
      <c r="R12" s="257"/>
      <c r="T12" s="466" t="s">
        <v>596</v>
      </c>
      <c r="U12" s="497" t="s">
        <v>952</v>
      </c>
      <c r="W12" s="500" t="s">
        <v>412</v>
      </c>
      <c r="X12" s="501" t="s">
        <v>412</v>
      </c>
      <c r="Y12" s="501" t="s">
        <v>412</v>
      </c>
      <c r="Z12" s="502" t="s">
        <v>412</v>
      </c>
      <c r="AA12" s="503" t="s">
        <v>412</v>
      </c>
      <c r="AB12" s="501" t="s">
        <v>412</v>
      </c>
      <c r="AC12" s="501" t="s">
        <v>412</v>
      </c>
      <c r="AD12" s="501" t="s">
        <v>412</v>
      </c>
      <c r="AE12" s="504" t="s">
        <v>412</v>
      </c>
      <c r="AF12" s="505" t="s">
        <v>585</v>
      </c>
      <c r="AG12" s="498" t="s">
        <v>950</v>
      </c>
      <c r="AH12" s="499" t="s">
        <v>587</v>
      </c>
    </row>
    <row r="13" spans="1:34" ht="31.5" customHeight="1">
      <c r="A13" s="1302"/>
      <c r="B13" s="353">
        <f t="shared" si="3"/>
        <v>6</v>
      </c>
      <c r="C13" s="181" t="s">
        <v>266</v>
      </c>
      <c r="D13" s="821" t="s">
        <v>595</v>
      </c>
      <c r="E13" s="841" t="s">
        <v>967</v>
      </c>
      <c r="F13" s="841" t="s">
        <v>967</v>
      </c>
      <c r="G13" s="841" t="s">
        <v>967</v>
      </c>
      <c r="H13" s="841" t="s">
        <v>967</v>
      </c>
      <c r="I13" s="774">
        <v>10000</v>
      </c>
      <c r="J13" s="183"/>
      <c r="K13" s="110" t="s">
        <v>592</v>
      </c>
      <c r="L13" s="172">
        <v>4</v>
      </c>
      <c r="M13" s="58"/>
      <c r="N13" s="108">
        <f t="shared" si="2"/>
        <v>0</v>
      </c>
      <c r="O13" s="1313"/>
      <c r="P13" s="1315"/>
      <c r="Q13" s="57"/>
      <c r="R13" s="257"/>
      <c r="T13" s="466" t="s">
        <v>598</v>
      </c>
      <c r="U13" s="497" t="s">
        <v>1051</v>
      </c>
      <c r="W13" s="500" t="s">
        <v>412</v>
      </c>
      <c r="X13" s="501" t="s">
        <v>412</v>
      </c>
      <c r="Y13" s="501" t="s">
        <v>412</v>
      </c>
      <c r="Z13" s="502" t="s">
        <v>412</v>
      </c>
      <c r="AA13" s="503" t="s">
        <v>412</v>
      </c>
      <c r="AB13" s="501" t="s">
        <v>412</v>
      </c>
      <c r="AC13" s="501" t="s">
        <v>412</v>
      </c>
      <c r="AD13" s="501" t="s">
        <v>412</v>
      </c>
      <c r="AE13" s="504" t="s">
        <v>412</v>
      </c>
      <c r="AF13" s="505" t="s">
        <v>585</v>
      </c>
      <c r="AG13" s="498" t="s">
        <v>950</v>
      </c>
      <c r="AH13" s="499" t="s">
        <v>587</v>
      </c>
    </row>
    <row r="14" spans="1:34" ht="31.5" customHeight="1">
      <c r="A14" s="1302"/>
      <c r="B14" s="353">
        <f t="shared" si="3"/>
        <v>7</v>
      </c>
      <c r="C14" s="181" t="s">
        <v>267</v>
      </c>
      <c r="D14" s="821" t="s">
        <v>1052</v>
      </c>
      <c r="E14" s="889" t="s">
        <v>967</v>
      </c>
      <c r="F14" s="841" t="s">
        <v>967</v>
      </c>
      <c r="G14" s="841" t="s">
        <v>967</v>
      </c>
      <c r="H14" s="889" t="s">
        <v>967</v>
      </c>
      <c r="I14" s="774">
        <v>3846</v>
      </c>
      <c r="J14" s="183"/>
      <c r="K14" s="110" t="s">
        <v>536</v>
      </c>
      <c r="L14" s="172">
        <v>1</v>
      </c>
      <c r="M14" s="58"/>
      <c r="N14" s="108">
        <f t="shared" si="2"/>
        <v>0</v>
      </c>
      <c r="O14" s="1313"/>
      <c r="P14" s="1315"/>
      <c r="Q14" s="57"/>
      <c r="R14" s="257"/>
      <c r="T14" s="466" t="s">
        <v>601</v>
      </c>
      <c r="U14" s="497" t="s">
        <v>1053</v>
      </c>
      <c r="W14" s="500" t="s">
        <v>412</v>
      </c>
      <c r="X14" s="501" t="s">
        <v>412</v>
      </c>
      <c r="Y14" s="501" t="s">
        <v>412</v>
      </c>
      <c r="Z14" s="502" t="s">
        <v>412</v>
      </c>
      <c r="AA14" s="503" t="s">
        <v>412</v>
      </c>
      <c r="AB14" s="501" t="s">
        <v>412</v>
      </c>
      <c r="AC14" s="501" t="s">
        <v>412</v>
      </c>
      <c r="AD14" s="501" t="s">
        <v>412</v>
      </c>
      <c r="AE14" s="504" t="s">
        <v>412</v>
      </c>
      <c r="AF14" s="505" t="s">
        <v>585</v>
      </c>
      <c r="AG14" s="498" t="s">
        <v>950</v>
      </c>
      <c r="AH14" s="499" t="s">
        <v>587</v>
      </c>
    </row>
    <row r="15" spans="1:34" ht="31.5" customHeight="1">
      <c r="A15" s="1302"/>
      <c r="B15" s="353">
        <f t="shared" si="3"/>
        <v>8</v>
      </c>
      <c r="C15" s="181" t="s">
        <v>602</v>
      </c>
      <c r="D15" s="821" t="s">
        <v>588</v>
      </c>
      <c r="E15" s="841" t="s">
        <v>967</v>
      </c>
      <c r="F15" s="890" t="s">
        <v>967</v>
      </c>
      <c r="G15" s="841" t="s">
        <v>967</v>
      </c>
      <c r="H15" s="889" t="s">
        <v>967</v>
      </c>
      <c r="I15" s="774">
        <v>3846</v>
      </c>
      <c r="J15" s="183"/>
      <c r="K15" s="110" t="s">
        <v>603</v>
      </c>
      <c r="L15" s="172">
        <v>2</v>
      </c>
      <c r="M15" s="58"/>
      <c r="N15" s="108">
        <f t="shared" si="2"/>
        <v>0</v>
      </c>
      <c r="O15" s="1313"/>
      <c r="P15" s="1315"/>
      <c r="Q15" s="57"/>
      <c r="R15" s="257"/>
      <c r="T15" s="466" t="s">
        <v>604</v>
      </c>
      <c r="U15" s="497" t="s">
        <v>605</v>
      </c>
      <c r="W15" s="500" t="s">
        <v>412</v>
      </c>
      <c r="X15" s="501" t="s">
        <v>412</v>
      </c>
      <c r="Y15" s="501" t="s">
        <v>412</v>
      </c>
      <c r="Z15" s="502" t="s">
        <v>412</v>
      </c>
      <c r="AA15" s="503" t="s">
        <v>412</v>
      </c>
      <c r="AB15" s="501" t="s">
        <v>412</v>
      </c>
      <c r="AC15" s="501" t="s">
        <v>412</v>
      </c>
      <c r="AD15" s="501" t="s">
        <v>412</v>
      </c>
      <c r="AE15" s="504" t="s">
        <v>412</v>
      </c>
      <c r="AF15" s="505" t="s">
        <v>585</v>
      </c>
      <c r="AG15" s="498" t="s">
        <v>606</v>
      </c>
      <c r="AH15" s="499" t="s">
        <v>587</v>
      </c>
    </row>
    <row r="16" spans="1:34" ht="31.5" customHeight="1">
      <c r="A16" s="1310"/>
      <c r="B16" s="353">
        <f t="shared" si="3"/>
        <v>9</v>
      </c>
      <c r="C16" s="181" t="s">
        <v>269</v>
      </c>
      <c r="D16" s="821" t="s">
        <v>607</v>
      </c>
      <c r="E16" s="841" t="s">
        <v>967</v>
      </c>
      <c r="F16" s="841" t="s">
        <v>967</v>
      </c>
      <c r="G16" s="841" t="s">
        <v>967</v>
      </c>
      <c r="H16" s="841" t="s">
        <v>967</v>
      </c>
      <c r="I16" s="774">
        <v>7391</v>
      </c>
      <c r="J16" s="183"/>
      <c r="K16" s="110" t="s">
        <v>608</v>
      </c>
      <c r="L16" s="172">
        <v>12</v>
      </c>
      <c r="M16" s="58"/>
      <c r="N16" s="108">
        <f t="shared" si="2"/>
        <v>0</v>
      </c>
      <c r="O16" s="1313"/>
      <c r="P16" s="1315"/>
      <c r="Q16" s="57"/>
      <c r="R16" s="257"/>
      <c r="T16" s="466" t="s">
        <v>609</v>
      </c>
      <c r="U16" s="497" t="s">
        <v>610</v>
      </c>
      <c r="W16" s="500" t="s">
        <v>412</v>
      </c>
      <c r="X16" s="501" t="s">
        <v>412</v>
      </c>
      <c r="Y16" s="501" t="s">
        <v>412</v>
      </c>
      <c r="Z16" s="502" t="s">
        <v>412</v>
      </c>
      <c r="AA16" s="503" t="s">
        <v>412</v>
      </c>
      <c r="AB16" s="501" t="s">
        <v>412</v>
      </c>
      <c r="AC16" s="501" t="s">
        <v>412</v>
      </c>
      <c r="AD16" s="501" t="s">
        <v>412</v>
      </c>
      <c r="AE16" s="504" t="s">
        <v>412</v>
      </c>
      <c r="AF16" s="505" t="s">
        <v>585</v>
      </c>
      <c r="AG16" s="498" t="s">
        <v>950</v>
      </c>
      <c r="AH16" s="499" t="s">
        <v>587</v>
      </c>
    </row>
    <row r="17" spans="1:34">
      <c r="A17" s="1311"/>
      <c r="B17" s="65"/>
      <c r="C17" s="66"/>
      <c r="D17" s="189"/>
      <c r="E17" s="891" t="s">
        <v>967</v>
      </c>
      <c r="F17" s="891" t="s">
        <v>967</v>
      </c>
      <c r="G17" s="891" t="s">
        <v>967</v>
      </c>
      <c r="H17" s="891" t="s">
        <v>967</v>
      </c>
      <c r="I17" s="359">
        <f t="shared" ref="I17" si="4">SUM(I8:I16)</f>
        <v>48924</v>
      </c>
      <c r="J17" s="139"/>
      <c r="K17" s="111"/>
      <c r="L17" s="440">
        <f>SUM(L8:L16)</f>
        <v>28</v>
      </c>
      <c r="M17" s="443">
        <f>SUM(M8:M16)</f>
        <v>0</v>
      </c>
      <c r="N17" s="444">
        <f>IFERROR(AVERAGE(N8:N16),"")</f>
        <v>0</v>
      </c>
      <c r="O17" s="380">
        <f>IFERROR(AVERAGE(N8:N16),"")</f>
        <v>0</v>
      </c>
      <c r="P17" s="1315"/>
      <c r="Q17" s="352">
        <f>SUM(Q8:Q16)</f>
        <v>0</v>
      </c>
      <c r="R17" s="70">
        <f>SUM(R8:R16)</f>
        <v>0</v>
      </c>
      <c r="T17" s="68"/>
      <c r="U17" s="467"/>
      <c r="W17" s="478"/>
      <c r="X17" s="67"/>
      <c r="Y17" s="67"/>
      <c r="Z17" s="67"/>
      <c r="AA17" s="67"/>
      <c r="AB17" s="67"/>
      <c r="AC17" s="67"/>
      <c r="AD17" s="67"/>
      <c r="AE17" s="67"/>
      <c r="AF17" s="67"/>
      <c r="AG17" s="67"/>
      <c r="AH17" s="467"/>
    </row>
    <row r="18" spans="1:34" ht="45" customHeight="1">
      <c r="A18" s="360" t="s">
        <v>270</v>
      </c>
      <c r="B18" s="361"/>
      <c r="C18" s="361"/>
      <c r="D18" s="822"/>
      <c r="E18" s="842" t="s">
        <v>248</v>
      </c>
      <c r="F18" s="842" t="s">
        <v>249</v>
      </c>
      <c r="G18" s="842" t="s">
        <v>250</v>
      </c>
      <c r="H18" s="842" t="s">
        <v>251</v>
      </c>
      <c r="I18" s="835">
        <f>I20+I25+I29</f>
        <v>311035</v>
      </c>
      <c r="J18" s="366"/>
      <c r="K18" s="367"/>
      <c r="L18" s="368"/>
      <c r="M18" s="369"/>
      <c r="N18" s="370"/>
      <c r="O18" s="371"/>
      <c r="P18" s="1315"/>
      <c r="Q18" s="373">
        <f>Q20+Q25+Q29</f>
        <v>0</v>
      </c>
      <c r="R18" s="374">
        <f>R20+R25+R29</f>
        <v>0</v>
      </c>
      <c r="T18" s="464" t="s">
        <v>270</v>
      </c>
      <c r="U18" s="465"/>
      <c r="W18" s="464" t="s">
        <v>270</v>
      </c>
      <c r="X18" s="465"/>
      <c r="Y18" s="465"/>
      <c r="Z18" s="465"/>
      <c r="AA18" s="465"/>
      <c r="AB18" s="465"/>
      <c r="AC18" s="465"/>
      <c r="AD18" s="465"/>
      <c r="AE18" s="465"/>
      <c r="AF18" s="465"/>
      <c r="AG18" s="465"/>
      <c r="AH18" s="465"/>
    </row>
    <row r="19" spans="1:34" ht="41.25" customHeight="1">
      <c r="A19" s="1405" t="s">
        <v>1054</v>
      </c>
      <c r="B19" s="168">
        <f>B16+1</f>
        <v>10</v>
      </c>
      <c r="C19" s="180" t="s">
        <v>272</v>
      </c>
      <c r="D19" s="823" t="s">
        <v>595</v>
      </c>
      <c r="E19" s="841" t="s">
        <v>967</v>
      </c>
      <c r="F19" s="841" t="s">
        <v>967</v>
      </c>
      <c r="G19" s="841" t="s">
        <v>967</v>
      </c>
      <c r="H19" s="841" t="s">
        <v>967</v>
      </c>
      <c r="I19" s="849">
        <v>68000</v>
      </c>
      <c r="J19" s="182"/>
      <c r="K19" s="110" t="s">
        <v>611</v>
      </c>
      <c r="L19" s="172">
        <v>12</v>
      </c>
      <c r="M19" s="58"/>
      <c r="N19" s="376">
        <f>IF(L19,MIN(1,M19/L19),"")</f>
        <v>0</v>
      </c>
      <c r="O19" s="1318"/>
      <c r="P19" s="1315"/>
      <c r="Q19" s="57"/>
      <c r="R19" s="257"/>
      <c r="T19" s="466" t="s">
        <v>612</v>
      </c>
      <c r="U19" s="497" t="s">
        <v>1055</v>
      </c>
      <c r="W19" s="500" t="s">
        <v>412</v>
      </c>
      <c r="X19" s="501" t="s">
        <v>412</v>
      </c>
      <c r="Y19" s="501" t="s">
        <v>412</v>
      </c>
      <c r="Z19" s="502" t="s">
        <v>412</v>
      </c>
      <c r="AA19" s="503" t="s">
        <v>412</v>
      </c>
      <c r="AB19" s="501" t="s">
        <v>412</v>
      </c>
      <c r="AC19" s="501" t="s">
        <v>412</v>
      </c>
      <c r="AD19" s="501" t="s">
        <v>412</v>
      </c>
      <c r="AE19" s="504" t="s">
        <v>412</v>
      </c>
      <c r="AF19" s="505" t="s">
        <v>585</v>
      </c>
      <c r="AG19" s="498" t="s">
        <v>614</v>
      </c>
      <c r="AH19" s="499" t="s">
        <v>587</v>
      </c>
    </row>
    <row r="20" spans="1:34">
      <c r="A20" s="1311"/>
      <c r="B20" s="65"/>
      <c r="C20" s="66"/>
      <c r="D20" s="189"/>
      <c r="E20" s="891" t="s">
        <v>967</v>
      </c>
      <c r="F20" s="891" t="s">
        <v>967</v>
      </c>
      <c r="G20" s="891" t="s">
        <v>967</v>
      </c>
      <c r="H20" s="891" t="s">
        <v>967</v>
      </c>
      <c r="I20" s="359">
        <f>SUM(I19:I19)</f>
        <v>68000</v>
      </c>
      <c r="J20" s="139"/>
      <c r="K20" s="111"/>
      <c r="L20" s="440">
        <f>SUM(L19:L19)</f>
        <v>12</v>
      </c>
      <c r="M20" s="443">
        <f>SUM(M19:M19)</f>
        <v>0</v>
      </c>
      <c r="N20" s="273">
        <f>IFERROR(AVERAGE(N19:N19),"")</f>
        <v>0</v>
      </c>
      <c r="O20" s="1319"/>
      <c r="P20" s="1315"/>
      <c r="Q20" s="352">
        <f>SUM(Q19:Q19)</f>
        <v>0</v>
      </c>
      <c r="R20" s="70">
        <f>SUM(R19:R19)</f>
        <v>0</v>
      </c>
      <c r="T20" s="68"/>
      <c r="U20" s="468"/>
      <c r="W20" s="478"/>
      <c r="X20" s="67"/>
      <c r="Y20" s="67"/>
      <c r="Z20" s="67"/>
      <c r="AA20" s="67"/>
      <c r="AB20" s="67"/>
      <c r="AC20" s="67"/>
      <c r="AD20" s="67"/>
      <c r="AE20" s="67"/>
      <c r="AF20" s="67"/>
      <c r="AG20" s="67"/>
      <c r="AH20" s="467"/>
    </row>
    <row r="21" spans="1:34" ht="31.5" customHeight="1">
      <c r="A21" s="1406" t="s">
        <v>1056</v>
      </c>
      <c r="B21" s="168">
        <f>B19+1</f>
        <v>11</v>
      </c>
      <c r="C21" s="180" t="s">
        <v>274</v>
      </c>
      <c r="D21" s="824" t="s">
        <v>78</v>
      </c>
      <c r="E21" s="841" t="s">
        <v>967</v>
      </c>
      <c r="F21" s="841" t="s">
        <v>967</v>
      </c>
      <c r="G21" s="841" t="s">
        <v>967</v>
      </c>
      <c r="H21" s="841" t="s">
        <v>967</v>
      </c>
      <c r="I21" s="774">
        <v>8094</v>
      </c>
      <c r="J21" s="357"/>
      <c r="K21" s="112" t="s">
        <v>488</v>
      </c>
      <c r="L21" s="174">
        <v>2</v>
      </c>
      <c r="M21" s="58"/>
      <c r="N21" s="108">
        <f t="shared" ref="N21:N24" si="5">IF(L21,MIN(1,M21/L21),"")</f>
        <v>0</v>
      </c>
      <c r="O21" s="1319"/>
      <c r="P21" s="1315"/>
      <c r="Q21" s="57"/>
      <c r="R21" s="258"/>
      <c r="T21" s="466" t="s">
        <v>615</v>
      </c>
      <c r="U21" s="497" t="s">
        <v>616</v>
      </c>
      <c r="W21" s="500" t="s">
        <v>412</v>
      </c>
      <c r="X21" s="501" t="s">
        <v>412</v>
      </c>
      <c r="Y21" s="501" t="s">
        <v>412</v>
      </c>
      <c r="Z21" s="502" t="s">
        <v>412</v>
      </c>
      <c r="AA21" s="503" t="s">
        <v>412</v>
      </c>
      <c r="AB21" s="501" t="s">
        <v>412</v>
      </c>
      <c r="AC21" s="501" t="s">
        <v>617</v>
      </c>
      <c r="AD21" s="501" t="s">
        <v>412</v>
      </c>
      <c r="AE21" s="504" t="s">
        <v>618</v>
      </c>
      <c r="AF21" s="505" t="s">
        <v>585</v>
      </c>
      <c r="AG21" s="498" t="s">
        <v>956</v>
      </c>
      <c r="AH21" s="499" t="s">
        <v>587</v>
      </c>
    </row>
    <row r="22" spans="1:34" ht="31.5" customHeight="1">
      <c r="A22" s="1322"/>
      <c r="B22" s="353">
        <f>B21+1</f>
        <v>12</v>
      </c>
      <c r="C22" s="181" t="s">
        <v>275</v>
      </c>
      <c r="D22" s="824" t="s">
        <v>78</v>
      </c>
      <c r="E22" s="841" t="s">
        <v>967</v>
      </c>
      <c r="F22" s="841" t="s">
        <v>967</v>
      </c>
      <c r="G22" s="841" t="s">
        <v>967</v>
      </c>
      <c r="H22" s="889" t="s">
        <v>967</v>
      </c>
      <c r="I22" s="774">
        <v>4687</v>
      </c>
      <c r="J22" s="357"/>
      <c r="K22" s="110" t="s">
        <v>488</v>
      </c>
      <c r="L22" s="172">
        <v>1</v>
      </c>
      <c r="M22" s="58"/>
      <c r="N22" s="108">
        <f t="shared" si="5"/>
        <v>0</v>
      </c>
      <c r="O22" s="1319"/>
      <c r="P22" s="1315"/>
      <c r="Q22" s="57"/>
      <c r="R22" s="257"/>
      <c r="T22" s="466" t="s">
        <v>620</v>
      </c>
      <c r="U22" s="497" t="s">
        <v>1057</v>
      </c>
      <c r="W22" s="500" t="s">
        <v>412</v>
      </c>
      <c r="X22" s="501" t="s">
        <v>412</v>
      </c>
      <c r="Y22" s="501" t="s">
        <v>412</v>
      </c>
      <c r="Z22" s="502" t="s">
        <v>412</v>
      </c>
      <c r="AA22" s="503" t="s">
        <v>412</v>
      </c>
      <c r="AB22" s="501" t="s">
        <v>412</v>
      </c>
      <c r="AC22" s="501" t="s">
        <v>617</v>
      </c>
      <c r="AD22" s="501" t="s">
        <v>412</v>
      </c>
      <c r="AE22" s="504" t="s">
        <v>618</v>
      </c>
      <c r="AF22" s="505" t="s">
        <v>585</v>
      </c>
      <c r="AG22" s="498" t="s">
        <v>956</v>
      </c>
      <c r="AH22" s="499" t="s">
        <v>587</v>
      </c>
    </row>
    <row r="23" spans="1:34" ht="31.5" customHeight="1">
      <c r="A23" s="1322"/>
      <c r="B23" s="353">
        <f t="shared" ref="B23:B24" si="6">B22+1</f>
        <v>13</v>
      </c>
      <c r="C23" s="181" t="s">
        <v>276</v>
      </c>
      <c r="D23" s="824" t="s">
        <v>485</v>
      </c>
      <c r="E23" s="889" t="s">
        <v>967</v>
      </c>
      <c r="F23" s="841" t="s">
        <v>967</v>
      </c>
      <c r="G23" s="841" t="s">
        <v>967</v>
      </c>
      <c r="H23" s="889" t="s">
        <v>967</v>
      </c>
      <c r="I23" s="774">
        <v>3077</v>
      </c>
      <c r="J23" s="357"/>
      <c r="K23" s="110" t="s">
        <v>489</v>
      </c>
      <c r="L23" s="172">
        <v>2</v>
      </c>
      <c r="M23" s="58"/>
      <c r="N23" s="108">
        <f t="shared" si="5"/>
        <v>0</v>
      </c>
      <c r="O23" s="1319"/>
      <c r="P23" s="1315"/>
      <c r="Q23" s="57"/>
      <c r="R23" s="257"/>
      <c r="T23" s="466" t="s">
        <v>622</v>
      </c>
      <c r="U23" s="497" t="s">
        <v>623</v>
      </c>
      <c r="W23" s="500" t="s">
        <v>412</v>
      </c>
      <c r="X23" s="501" t="s">
        <v>412</v>
      </c>
      <c r="Y23" s="501" t="s">
        <v>412</v>
      </c>
      <c r="Z23" s="502" t="s">
        <v>412</v>
      </c>
      <c r="AA23" s="503" t="s">
        <v>412</v>
      </c>
      <c r="AB23" s="501" t="s">
        <v>412</v>
      </c>
      <c r="AC23" s="501" t="s">
        <v>412</v>
      </c>
      <c r="AD23" s="501" t="s">
        <v>412</v>
      </c>
      <c r="AE23" s="504" t="s">
        <v>412</v>
      </c>
      <c r="AF23" s="505" t="s">
        <v>585</v>
      </c>
      <c r="AG23" s="498" t="s">
        <v>624</v>
      </c>
      <c r="AH23" s="499" t="s">
        <v>587</v>
      </c>
    </row>
    <row r="24" spans="1:34" ht="31.5" customHeight="1">
      <c r="A24" s="1322"/>
      <c r="B24" s="353">
        <f t="shared" si="6"/>
        <v>14</v>
      </c>
      <c r="C24" s="181" t="s">
        <v>277</v>
      </c>
      <c r="D24" s="824" t="s">
        <v>490</v>
      </c>
      <c r="E24" s="889" t="s">
        <v>967</v>
      </c>
      <c r="F24" s="841" t="s">
        <v>967</v>
      </c>
      <c r="G24" s="841" t="s">
        <v>967</v>
      </c>
      <c r="H24" s="889" t="s">
        <v>967</v>
      </c>
      <c r="I24" s="774">
        <v>1605</v>
      </c>
      <c r="J24" s="357"/>
      <c r="K24" s="110" t="s">
        <v>489</v>
      </c>
      <c r="L24" s="172">
        <v>1</v>
      </c>
      <c r="M24" s="58"/>
      <c r="N24" s="108">
        <f t="shared" si="5"/>
        <v>0</v>
      </c>
      <c r="O24" s="1319"/>
      <c r="P24" s="1315"/>
      <c r="Q24" s="57"/>
      <c r="R24" s="257"/>
      <c r="T24" s="466" t="s">
        <v>625</v>
      </c>
      <c r="U24" s="497" t="s">
        <v>626</v>
      </c>
      <c r="W24" s="500" t="s">
        <v>412</v>
      </c>
      <c r="X24" s="501" t="s">
        <v>412</v>
      </c>
      <c r="Y24" s="501" t="s">
        <v>412</v>
      </c>
      <c r="Z24" s="502" t="s">
        <v>412</v>
      </c>
      <c r="AA24" s="503" t="s">
        <v>412</v>
      </c>
      <c r="AB24" s="501" t="s">
        <v>412</v>
      </c>
      <c r="AC24" s="501" t="s">
        <v>412</v>
      </c>
      <c r="AD24" s="501" t="s">
        <v>412</v>
      </c>
      <c r="AE24" s="504" t="s">
        <v>412</v>
      </c>
      <c r="AF24" s="505" t="s">
        <v>585</v>
      </c>
      <c r="AG24" s="498" t="s">
        <v>627</v>
      </c>
      <c r="AH24" s="499" t="s">
        <v>587</v>
      </c>
    </row>
    <row r="25" spans="1:34">
      <c r="A25" s="1323"/>
      <c r="B25" s="65"/>
      <c r="C25" s="66"/>
      <c r="D25" s="189"/>
      <c r="E25" s="891" t="s">
        <v>967</v>
      </c>
      <c r="F25" s="891" t="s">
        <v>967</v>
      </c>
      <c r="G25" s="891" t="s">
        <v>967</v>
      </c>
      <c r="H25" s="891" t="s">
        <v>967</v>
      </c>
      <c r="I25" s="359">
        <f>SUM(I21:I24)</f>
        <v>17463</v>
      </c>
      <c r="J25" s="358"/>
      <c r="K25" s="111"/>
      <c r="L25" s="440">
        <f>SUM(L21:L24)</f>
        <v>6</v>
      </c>
      <c r="M25" s="443">
        <f>SUM(M21:M24)</f>
        <v>0</v>
      </c>
      <c r="N25" s="273">
        <f>IFERROR(AVERAGE(N21:N24),"")</f>
        <v>0</v>
      </c>
      <c r="O25" s="1319"/>
      <c r="P25" s="1315"/>
      <c r="Q25" s="352">
        <f>SUM(Q21:Q24)</f>
        <v>0</v>
      </c>
      <c r="R25" s="70">
        <f>SUM(R21:R24)</f>
        <v>0</v>
      </c>
      <c r="T25" s="68"/>
      <c r="U25" s="467"/>
      <c r="W25" s="478"/>
      <c r="X25" s="67"/>
      <c r="Y25" s="67"/>
      <c r="Z25" s="67"/>
      <c r="AA25" s="67"/>
      <c r="AB25" s="67"/>
      <c r="AC25" s="67"/>
      <c r="AD25" s="67"/>
      <c r="AE25" s="67"/>
      <c r="AF25" s="67"/>
      <c r="AG25" s="67"/>
      <c r="AH25" s="467"/>
    </row>
    <row r="26" spans="1:34" ht="31.5" customHeight="1">
      <c r="A26" s="1406" t="s">
        <v>1058</v>
      </c>
      <c r="B26" s="168">
        <f>B24+1</f>
        <v>15</v>
      </c>
      <c r="C26" s="180" t="s">
        <v>279</v>
      </c>
      <c r="D26" s="823" t="s">
        <v>78</v>
      </c>
      <c r="E26" s="889" t="s">
        <v>967</v>
      </c>
      <c r="F26" s="841" t="s">
        <v>967</v>
      </c>
      <c r="G26" s="841" t="s">
        <v>967</v>
      </c>
      <c r="H26" s="841" t="s">
        <v>967</v>
      </c>
      <c r="I26" s="774">
        <v>7569</v>
      </c>
      <c r="J26" s="182"/>
      <c r="K26" s="113" t="s">
        <v>628</v>
      </c>
      <c r="L26" s="174">
        <v>12</v>
      </c>
      <c r="M26" s="58"/>
      <c r="N26" s="108">
        <f t="shared" ref="N26:N28" si="7">IF(L26,MIN(1,M26/L26),"")</f>
        <v>0</v>
      </c>
      <c r="O26" s="1319"/>
      <c r="P26" s="1315"/>
      <c r="Q26" s="57"/>
      <c r="R26" s="258"/>
      <c r="T26" s="466" t="s">
        <v>629</v>
      </c>
      <c r="U26" s="497" t="s">
        <v>1059</v>
      </c>
      <c r="W26" s="500" t="s">
        <v>412</v>
      </c>
      <c r="X26" s="501" t="s">
        <v>412</v>
      </c>
      <c r="Y26" s="501" t="s">
        <v>412</v>
      </c>
      <c r="Z26" s="502" t="s">
        <v>412</v>
      </c>
      <c r="AA26" s="503" t="s">
        <v>631</v>
      </c>
      <c r="AB26" s="501" t="s">
        <v>412</v>
      </c>
      <c r="AC26" s="501" t="s">
        <v>632</v>
      </c>
      <c r="AD26" s="501" t="s">
        <v>412</v>
      </c>
      <c r="AE26" s="504" t="s">
        <v>618</v>
      </c>
      <c r="AF26" s="505" t="s">
        <v>585</v>
      </c>
      <c r="AG26" s="498" t="s">
        <v>633</v>
      </c>
      <c r="AH26" s="499" t="s">
        <v>587</v>
      </c>
    </row>
    <row r="27" spans="1:34" ht="31.5" customHeight="1">
      <c r="A27" s="1322"/>
      <c r="B27" s="353">
        <f>B26+1</f>
        <v>16</v>
      </c>
      <c r="C27" s="181" t="s">
        <v>280</v>
      </c>
      <c r="D27" s="825" t="s">
        <v>78</v>
      </c>
      <c r="E27" s="841" t="s">
        <v>967</v>
      </c>
      <c r="F27" s="841" t="s">
        <v>967</v>
      </c>
      <c r="G27" s="889" t="s">
        <v>967</v>
      </c>
      <c r="H27" s="889" t="s">
        <v>967</v>
      </c>
      <c r="I27" s="774">
        <v>15962</v>
      </c>
      <c r="J27" s="183"/>
      <c r="K27" s="110" t="s">
        <v>628</v>
      </c>
      <c r="L27" s="172">
        <v>4</v>
      </c>
      <c r="M27" s="58"/>
      <c r="N27" s="108">
        <f t="shared" si="7"/>
        <v>0</v>
      </c>
      <c r="O27" s="1319"/>
      <c r="P27" s="1315"/>
      <c r="Q27" s="57"/>
      <c r="R27" s="257"/>
      <c r="T27" s="466" t="s">
        <v>634</v>
      </c>
      <c r="U27" s="497" t="s">
        <v>1060</v>
      </c>
      <c r="W27" s="500" t="s">
        <v>412</v>
      </c>
      <c r="X27" s="501" t="s">
        <v>412</v>
      </c>
      <c r="Y27" s="501" t="s">
        <v>412</v>
      </c>
      <c r="Z27" s="502" t="s">
        <v>412</v>
      </c>
      <c r="AA27" s="503" t="s">
        <v>412</v>
      </c>
      <c r="AB27" s="501" t="s">
        <v>412</v>
      </c>
      <c r="AC27" s="501" t="s">
        <v>585</v>
      </c>
      <c r="AD27" s="501" t="s">
        <v>412</v>
      </c>
      <c r="AE27" s="504" t="s">
        <v>618</v>
      </c>
      <c r="AF27" s="505" t="s">
        <v>585</v>
      </c>
      <c r="AG27" s="498" t="s">
        <v>636</v>
      </c>
      <c r="AH27" s="499" t="s">
        <v>587</v>
      </c>
    </row>
    <row r="28" spans="1:34" ht="56.25" customHeight="1">
      <c r="A28" s="1322"/>
      <c r="B28" s="353">
        <f t="shared" ref="B28" si="8">B27+1</f>
        <v>17</v>
      </c>
      <c r="C28" s="181" t="s">
        <v>281</v>
      </c>
      <c r="D28" s="825" t="s">
        <v>637</v>
      </c>
      <c r="E28" s="841" t="s">
        <v>967</v>
      </c>
      <c r="F28" s="841" t="s">
        <v>967</v>
      </c>
      <c r="G28" s="841" t="s">
        <v>967</v>
      </c>
      <c r="H28" s="841" t="s">
        <v>967</v>
      </c>
      <c r="I28" s="774">
        <v>202041</v>
      </c>
      <c r="J28" s="183"/>
      <c r="K28" s="110" t="s">
        <v>628</v>
      </c>
      <c r="L28" s="172">
        <v>5</v>
      </c>
      <c r="M28" s="58"/>
      <c r="N28" s="108">
        <f t="shared" si="7"/>
        <v>0</v>
      </c>
      <c r="O28" s="1320"/>
      <c r="P28" s="1316"/>
      <c r="Q28" s="57"/>
      <c r="R28" s="257"/>
      <c r="T28" s="466" t="s">
        <v>638</v>
      </c>
      <c r="U28" s="497" t="s">
        <v>1061</v>
      </c>
      <c r="W28" s="500" t="s">
        <v>412</v>
      </c>
      <c r="X28" s="501" t="s">
        <v>412</v>
      </c>
      <c r="Y28" s="501" t="s">
        <v>412</v>
      </c>
      <c r="Z28" s="502" t="s">
        <v>412</v>
      </c>
      <c r="AA28" s="503" t="s">
        <v>412</v>
      </c>
      <c r="AB28" s="501" t="s">
        <v>412</v>
      </c>
      <c r="AC28" s="501" t="s">
        <v>585</v>
      </c>
      <c r="AD28" s="501" t="s">
        <v>412</v>
      </c>
      <c r="AE28" s="504" t="s">
        <v>618</v>
      </c>
      <c r="AF28" s="505" t="s">
        <v>585</v>
      </c>
      <c r="AG28" s="498" t="s">
        <v>640</v>
      </c>
      <c r="AH28" s="499" t="s">
        <v>587</v>
      </c>
    </row>
    <row r="29" spans="1:34">
      <c r="A29" s="1323"/>
      <c r="B29" s="65"/>
      <c r="C29" s="66"/>
      <c r="D29" s="67"/>
      <c r="E29" s="891" t="s">
        <v>967</v>
      </c>
      <c r="F29" s="891" t="s">
        <v>967</v>
      </c>
      <c r="G29" s="891" t="s">
        <v>967</v>
      </c>
      <c r="H29" s="891" t="s">
        <v>967</v>
      </c>
      <c r="I29" s="359">
        <f>SUM(I26:I28)</f>
        <v>225572</v>
      </c>
      <c r="J29" s="139"/>
      <c r="K29" s="111"/>
      <c r="L29" s="440">
        <f>SUM(L26:L28)</f>
        <v>21</v>
      </c>
      <c r="M29" s="443">
        <f>SUM(M26:M28)</f>
        <v>0</v>
      </c>
      <c r="N29" s="444">
        <f>IFERROR(AVERAGE(N26:N28),"")</f>
        <v>0</v>
      </c>
      <c r="O29" s="272">
        <f>IFERROR(AVERAGE(N19,N21:N24,N26:N28),"")</f>
        <v>0</v>
      </c>
      <c r="P29" s="272">
        <f>IFERROR(AVERAGE(N8:N16,N19,N21:N24,N26:N28),"")</f>
        <v>0</v>
      </c>
      <c r="Q29" s="352">
        <f>SUM(Q26:Q28)</f>
        <v>0</v>
      </c>
      <c r="R29" s="70">
        <f>SUM(R26:R28)</f>
        <v>0</v>
      </c>
      <c r="T29" s="68"/>
      <c r="U29" s="467"/>
      <c r="W29" s="478"/>
      <c r="X29" s="67"/>
      <c r="Y29" s="67"/>
      <c r="Z29" s="67"/>
      <c r="AA29" s="67"/>
      <c r="AB29" s="67"/>
      <c r="AC29" s="67"/>
      <c r="AD29" s="67"/>
      <c r="AE29" s="67"/>
      <c r="AF29" s="67"/>
      <c r="AG29" s="67"/>
      <c r="AH29" s="467"/>
    </row>
    <row r="30" spans="1:34" ht="35.25" customHeight="1">
      <c r="A30" s="339" t="s">
        <v>282</v>
      </c>
      <c r="B30" s="340"/>
      <c r="C30" s="340"/>
      <c r="D30" s="340"/>
      <c r="E30" s="843" t="s">
        <v>967</v>
      </c>
      <c r="F30" s="843" t="s">
        <v>967</v>
      </c>
      <c r="G30" s="843" t="s">
        <v>967</v>
      </c>
      <c r="H30" s="843" t="s">
        <v>967</v>
      </c>
      <c r="I30" s="836">
        <f>I31+I36+I47</f>
        <v>34223</v>
      </c>
      <c r="J30" s="342"/>
      <c r="K30" s="343"/>
      <c r="L30" s="344"/>
      <c r="M30" s="345"/>
      <c r="N30" s="346"/>
      <c r="O30" s="346"/>
      <c r="P30" s="347"/>
      <c r="Q30" s="350">
        <f t="shared" ref="Q30:R30" si="9">Q31+Q36+Q47</f>
        <v>0</v>
      </c>
      <c r="R30" s="348">
        <f t="shared" si="9"/>
        <v>0</v>
      </c>
      <c r="T30" s="462" t="s">
        <v>282</v>
      </c>
      <c r="U30" s="463"/>
      <c r="W30" s="474" t="s">
        <v>282</v>
      </c>
      <c r="X30" s="475"/>
      <c r="Y30" s="475"/>
      <c r="Z30" s="475"/>
      <c r="AA30" s="475"/>
      <c r="AB30" s="475"/>
      <c r="AC30" s="475"/>
      <c r="AD30" s="475"/>
      <c r="AE30" s="475"/>
      <c r="AF30" s="475"/>
      <c r="AG30" s="475"/>
      <c r="AH30" s="476"/>
    </row>
    <row r="31" spans="1:34" ht="30.75" customHeight="1">
      <c r="A31" s="360" t="s">
        <v>283</v>
      </c>
      <c r="B31" s="361"/>
      <c r="C31" s="361"/>
      <c r="D31" s="822"/>
      <c r="E31" s="842" t="s">
        <v>248</v>
      </c>
      <c r="F31" s="842" t="s">
        <v>249</v>
      </c>
      <c r="G31" s="842" t="s">
        <v>250</v>
      </c>
      <c r="H31" s="842" t="s">
        <v>251</v>
      </c>
      <c r="I31" s="835">
        <f t="shared" ref="I31" si="10">I35</f>
        <v>0</v>
      </c>
      <c r="J31" s="366"/>
      <c r="K31" s="367"/>
      <c r="L31" s="368"/>
      <c r="M31" s="369"/>
      <c r="N31" s="370"/>
      <c r="O31" s="371"/>
      <c r="P31" s="372"/>
      <c r="Q31" s="373">
        <f t="shared" ref="Q31:R31" si="11">Q35</f>
        <v>0</v>
      </c>
      <c r="R31" s="374">
        <f t="shared" si="11"/>
        <v>0</v>
      </c>
      <c r="T31" s="464" t="s">
        <v>283</v>
      </c>
      <c r="U31" s="465"/>
      <c r="W31" s="464" t="s">
        <v>283</v>
      </c>
      <c r="X31" s="458"/>
      <c r="Y31" s="458"/>
      <c r="Z31" s="458"/>
      <c r="AA31" s="458"/>
      <c r="AB31" s="458"/>
      <c r="AC31" s="458"/>
      <c r="AD31" s="458"/>
      <c r="AE31" s="458"/>
      <c r="AF31" s="458"/>
      <c r="AG31" s="458"/>
      <c r="AH31" s="465"/>
    </row>
    <row r="32" spans="1:34" ht="31.5" customHeight="1">
      <c r="A32" s="1382" t="s">
        <v>1062</v>
      </c>
      <c r="B32" s="167">
        <f>B28+1</f>
        <v>18</v>
      </c>
      <c r="C32" s="180" t="s">
        <v>285</v>
      </c>
      <c r="D32" s="826" t="s">
        <v>78</v>
      </c>
      <c r="E32" s="890" t="s">
        <v>967</v>
      </c>
      <c r="F32" s="889" t="s">
        <v>967</v>
      </c>
      <c r="G32" s="889" t="s">
        <v>967</v>
      </c>
      <c r="H32" s="889" t="s">
        <v>967</v>
      </c>
      <c r="I32" s="356"/>
      <c r="J32" s="182"/>
      <c r="K32" s="113"/>
      <c r="L32" s="175"/>
      <c r="M32" s="58"/>
      <c r="N32" s="108" t="str">
        <f t="shared" ref="N32" si="12">IF(L32,MIN(1,M32/L32),"")</f>
        <v/>
      </c>
      <c r="O32" s="1336"/>
      <c r="P32" s="1304"/>
      <c r="Q32" s="165"/>
      <c r="R32" s="260"/>
      <c r="T32" s="466" t="s">
        <v>641</v>
      </c>
      <c r="U32" s="497"/>
      <c r="W32" s="500"/>
      <c r="X32" s="501"/>
      <c r="Y32" s="501"/>
      <c r="Z32" s="502"/>
      <c r="AA32" s="503"/>
      <c r="AB32" s="501"/>
      <c r="AC32" s="501"/>
      <c r="AD32" s="501"/>
      <c r="AE32" s="504"/>
      <c r="AF32" s="505"/>
      <c r="AG32" s="498"/>
      <c r="AH32" s="499"/>
    </row>
    <row r="33" spans="1:34" ht="31.5" customHeight="1">
      <c r="A33" s="1302"/>
      <c r="B33" s="167">
        <f>B32+1</f>
        <v>19</v>
      </c>
      <c r="C33" s="181" t="s">
        <v>286</v>
      </c>
      <c r="D33" s="827" t="s">
        <v>642</v>
      </c>
      <c r="E33" s="889" t="s">
        <v>967</v>
      </c>
      <c r="F33" s="889" t="s">
        <v>967</v>
      </c>
      <c r="G33" s="889" t="s">
        <v>967</v>
      </c>
      <c r="H33" s="889" t="s">
        <v>967</v>
      </c>
      <c r="I33" s="356"/>
      <c r="J33" s="183"/>
      <c r="K33" s="110"/>
      <c r="L33" s="172"/>
      <c r="M33" s="58"/>
      <c r="N33" s="108" t="str">
        <f>IF(L33,MIN(1,M33/L33),"")</f>
        <v/>
      </c>
      <c r="O33" s="1337"/>
      <c r="P33" s="1343"/>
      <c r="Q33" s="165"/>
      <c r="R33" s="257"/>
      <c r="T33" s="466" t="s">
        <v>644</v>
      </c>
      <c r="U33" s="497"/>
      <c r="W33" s="500"/>
      <c r="X33" s="501"/>
      <c r="Y33" s="501"/>
      <c r="Z33" s="502"/>
      <c r="AA33" s="503"/>
      <c r="AB33" s="501"/>
      <c r="AC33" s="501"/>
      <c r="AD33" s="501"/>
      <c r="AE33" s="504"/>
      <c r="AF33" s="505"/>
      <c r="AG33" s="498"/>
      <c r="AH33" s="499"/>
    </row>
    <row r="34" spans="1:34" ht="31.5" customHeight="1">
      <c r="A34" s="1302"/>
      <c r="B34" s="167">
        <f>B33+1</f>
        <v>20</v>
      </c>
      <c r="C34" s="181" t="s">
        <v>287</v>
      </c>
      <c r="D34" s="827" t="s">
        <v>78</v>
      </c>
      <c r="E34" s="889" t="s">
        <v>967</v>
      </c>
      <c r="F34" s="844" t="s">
        <v>967</v>
      </c>
      <c r="G34" s="844" t="s">
        <v>967</v>
      </c>
      <c r="H34" s="889" t="s">
        <v>967</v>
      </c>
      <c r="I34" s="356"/>
      <c r="J34" s="183"/>
      <c r="K34" s="110"/>
      <c r="L34" s="172"/>
      <c r="M34" s="58"/>
      <c r="N34" s="108" t="str">
        <f>IF(L34,MIN(1,M34/L34),"")</f>
        <v/>
      </c>
      <c r="O34" s="1337"/>
      <c r="P34" s="1343"/>
      <c r="Q34" s="165"/>
      <c r="R34" s="257"/>
      <c r="T34" s="466" t="s">
        <v>650</v>
      </c>
      <c r="U34" s="497"/>
      <c r="W34" s="500"/>
      <c r="X34" s="501"/>
      <c r="Y34" s="501"/>
      <c r="Z34" s="502"/>
      <c r="AA34" s="503"/>
      <c r="AB34" s="501"/>
      <c r="AC34" s="501"/>
      <c r="AD34" s="501"/>
      <c r="AE34" s="504"/>
      <c r="AF34" s="505"/>
      <c r="AG34" s="498"/>
      <c r="AH34" s="499"/>
    </row>
    <row r="35" spans="1:34">
      <c r="A35" s="1303"/>
      <c r="B35" s="65"/>
      <c r="C35" s="81"/>
      <c r="D35" s="120"/>
      <c r="E35" s="891" t="s">
        <v>967</v>
      </c>
      <c r="F35" s="891" t="s">
        <v>967</v>
      </c>
      <c r="G35" s="891" t="s">
        <v>967</v>
      </c>
      <c r="H35" s="891" t="s">
        <v>967</v>
      </c>
      <c r="I35" s="359">
        <f t="shared" ref="I35" si="13">SUM(I32:I34)</f>
        <v>0</v>
      </c>
      <c r="J35" s="139"/>
      <c r="K35" s="111"/>
      <c r="L35" s="440">
        <f>SUM(L32:L34)</f>
        <v>0</v>
      </c>
      <c r="M35" s="443">
        <f>SUM(M32:M34)</f>
        <v>0</v>
      </c>
      <c r="N35" s="444" t="str">
        <f>IFERROR(AVERAGE(N32:N34),"")</f>
        <v/>
      </c>
      <c r="O35" s="380" t="str">
        <f>IFERROR(AVERAGE(N32:N34),"")</f>
        <v/>
      </c>
      <c r="P35" s="1343"/>
      <c r="Q35" s="352">
        <f t="shared" ref="Q35:R35" si="14">SUM(Q32:Q34)</f>
        <v>0</v>
      </c>
      <c r="R35" s="70">
        <f t="shared" si="14"/>
        <v>0</v>
      </c>
      <c r="T35" s="68"/>
      <c r="U35" s="469"/>
      <c r="W35" s="478"/>
      <c r="X35" s="67"/>
      <c r="Y35" s="67"/>
      <c r="Z35" s="67"/>
      <c r="AA35" s="67"/>
      <c r="AB35" s="67"/>
      <c r="AC35" s="67"/>
      <c r="AD35" s="67"/>
      <c r="AE35" s="67"/>
      <c r="AF35" s="67"/>
      <c r="AG35" s="67"/>
      <c r="AH35" s="467"/>
    </row>
    <row r="36" spans="1:34" ht="30.75" customHeight="1">
      <c r="A36" s="360" t="s">
        <v>288</v>
      </c>
      <c r="B36" s="361"/>
      <c r="C36" s="361"/>
      <c r="D36" s="822"/>
      <c r="E36" s="842" t="s">
        <v>248</v>
      </c>
      <c r="F36" s="842" t="s">
        <v>249</v>
      </c>
      <c r="G36" s="842" t="s">
        <v>250</v>
      </c>
      <c r="H36" s="842" t="s">
        <v>251</v>
      </c>
      <c r="I36" s="835">
        <f t="shared" ref="I36" si="15">I40+I43</f>
        <v>24627</v>
      </c>
      <c r="J36" s="366"/>
      <c r="K36" s="367"/>
      <c r="L36" s="368"/>
      <c r="M36" s="369"/>
      <c r="N36" s="370"/>
      <c r="O36" s="371"/>
      <c r="P36" s="1343"/>
      <c r="Q36" s="373">
        <f t="shared" ref="Q36:R36" si="16">Q40+Q43</f>
        <v>0</v>
      </c>
      <c r="R36" s="374">
        <f t="shared" si="16"/>
        <v>0</v>
      </c>
      <c r="T36" s="464" t="s">
        <v>288</v>
      </c>
      <c r="U36" s="465"/>
      <c r="W36" s="464" t="s">
        <v>288</v>
      </c>
      <c r="X36" s="458"/>
      <c r="Y36" s="458"/>
      <c r="Z36" s="458"/>
      <c r="AA36" s="458"/>
      <c r="AB36" s="458"/>
      <c r="AC36" s="458"/>
      <c r="AD36" s="458"/>
      <c r="AE36" s="458"/>
      <c r="AF36" s="458"/>
      <c r="AG36" s="458"/>
      <c r="AH36" s="465"/>
    </row>
    <row r="37" spans="1:34" ht="31.5" customHeight="1">
      <c r="A37" s="1401" t="s">
        <v>1063</v>
      </c>
      <c r="B37" s="167">
        <f>B34+1</f>
        <v>21</v>
      </c>
      <c r="C37" s="180" t="s">
        <v>290</v>
      </c>
      <c r="D37" s="823" t="s">
        <v>78</v>
      </c>
      <c r="E37" s="889" t="s">
        <v>967</v>
      </c>
      <c r="F37" s="844" t="s">
        <v>967</v>
      </c>
      <c r="G37" s="844" t="s">
        <v>967</v>
      </c>
      <c r="H37" s="844" t="s">
        <v>967</v>
      </c>
      <c r="I37" s="356"/>
      <c r="J37" s="182"/>
      <c r="K37" s="171"/>
      <c r="L37" s="1125"/>
      <c r="M37" s="58"/>
      <c r="N37" s="109" t="str">
        <f t="shared" ref="N37" si="17">IF(L37,MIN(1,M37/L37),"")</f>
        <v/>
      </c>
      <c r="O37" s="1339"/>
      <c r="P37" s="1343"/>
      <c r="Q37" s="165"/>
      <c r="R37" s="257"/>
      <c r="T37" s="466" t="s">
        <v>651</v>
      </c>
      <c r="U37" s="497"/>
      <c r="W37" s="500" t="s">
        <v>653</v>
      </c>
      <c r="X37" s="501" t="s">
        <v>654</v>
      </c>
      <c r="Y37" s="501" t="s">
        <v>655</v>
      </c>
      <c r="Z37" s="502" t="s">
        <v>412</v>
      </c>
      <c r="AA37" s="503" t="s">
        <v>975</v>
      </c>
      <c r="AB37" s="501" t="s">
        <v>617</v>
      </c>
      <c r="AC37" s="501" t="s">
        <v>585</v>
      </c>
      <c r="AD37" s="501" t="s">
        <v>976</v>
      </c>
      <c r="AE37" s="504" t="s">
        <v>658</v>
      </c>
      <c r="AF37" s="505" t="s">
        <v>585</v>
      </c>
      <c r="AG37" s="498" t="s">
        <v>659</v>
      </c>
      <c r="AH37" s="499" t="s">
        <v>587</v>
      </c>
    </row>
    <row r="38" spans="1:34" ht="52.5" customHeight="1">
      <c r="A38" s="1348"/>
      <c r="B38" s="167">
        <f>B37+1</f>
        <v>22</v>
      </c>
      <c r="C38" s="181" t="s">
        <v>291</v>
      </c>
      <c r="D38" s="825" t="s">
        <v>595</v>
      </c>
      <c r="E38" s="841" t="s">
        <v>967</v>
      </c>
      <c r="F38" s="841" t="s">
        <v>967</v>
      </c>
      <c r="G38" s="841" t="s">
        <v>967</v>
      </c>
      <c r="H38" s="889" t="s">
        <v>967</v>
      </c>
      <c r="I38" s="774">
        <v>5000</v>
      </c>
      <c r="J38" s="183"/>
      <c r="K38" s="171" t="s">
        <v>643</v>
      </c>
      <c r="L38" s="1125">
        <v>2</v>
      </c>
      <c r="M38" s="58"/>
      <c r="N38" s="109">
        <f>IF(L38,MIN(1,M38/L38),"")</f>
        <v>0</v>
      </c>
      <c r="O38" s="1305"/>
      <c r="P38" s="1343"/>
      <c r="Q38" s="165"/>
      <c r="R38" s="257"/>
      <c r="T38" s="466" t="s">
        <v>660</v>
      </c>
      <c r="U38" s="497" t="s">
        <v>1064</v>
      </c>
      <c r="W38" s="500" t="s">
        <v>585</v>
      </c>
      <c r="X38" s="501" t="s">
        <v>585</v>
      </c>
      <c r="Y38" s="501" t="s">
        <v>585</v>
      </c>
      <c r="Z38" s="502" t="s">
        <v>412</v>
      </c>
      <c r="AA38" s="503" t="s">
        <v>662</v>
      </c>
      <c r="AB38" s="501" t="s">
        <v>585</v>
      </c>
      <c r="AC38" s="501" t="s">
        <v>585</v>
      </c>
      <c r="AD38" s="501" t="s">
        <v>647</v>
      </c>
      <c r="AE38" s="504" t="s">
        <v>648</v>
      </c>
      <c r="AF38" s="505" t="s">
        <v>585</v>
      </c>
      <c r="AG38" s="498" t="s">
        <v>649</v>
      </c>
      <c r="AH38" s="499" t="s">
        <v>587</v>
      </c>
    </row>
    <row r="39" spans="1:34" ht="50.25" customHeight="1">
      <c r="A39" s="1348"/>
      <c r="B39" s="167">
        <f>B38+1</f>
        <v>23</v>
      </c>
      <c r="C39" s="181" t="s">
        <v>292</v>
      </c>
      <c r="D39" s="825" t="s">
        <v>588</v>
      </c>
      <c r="E39" s="841" t="s">
        <v>967</v>
      </c>
      <c r="F39" s="841" t="s">
        <v>967</v>
      </c>
      <c r="G39" s="841" t="s">
        <v>967</v>
      </c>
      <c r="H39" s="841" t="s">
        <v>967</v>
      </c>
      <c r="I39" s="774">
        <v>10000</v>
      </c>
      <c r="J39" s="184"/>
      <c r="K39" s="171" t="s">
        <v>1065</v>
      </c>
      <c r="L39" s="1125">
        <v>64</v>
      </c>
      <c r="M39" s="58"/>
      <c r="N39" s="109">
        <f>IF(L39,MIN(1,M39/L39),"")</f>
        <v>0</v>
      </c>
      <c r="O39" s="1305"/>
      <c r="P39" s="1343"/>
      <c r="Q39" s="165"/>
      <c r="R39" s="257"/>
      <c r="T39" s="466" t="s">
        <v>663</v>
      </c>
      <c r="U39" s="497" t="s">
        <v>1066</v>
      </c>
      <c r="W39" s="500" t="s">
        <v>665</v>
      </c>
      <c r="X39" s="501" t="s">
        <v>666</v>
      </c>
      <c r="Y39" s="501" t="s">
        <v>667</v>
      </c>
      <c r="Z39" s="502" t="s">
        <v>412</v>
      </c>
      <c r="AA39" s="503" t="s">
        <v>668</v>
      </c>
      <c r="AB39" s="501" t="s">
        <v>585</v>
      </c>
      <c r="AC39" s="501" t="s">
        <v>585</v>
      </c>
      <c r="AD39" s="501" t="s">
        <v>412</v>
      </c>
      <c r="AE39" s="504" t="s">
        <v>669</v>
      </c>
      <c r="AF39" s="505" t="s">
        <v>585</v>
      </c>
      <c r="AG39" s="498" t="s">
        <v>670</v>
      </c>
      <c r="AH39" s="499" t="s">
        <v>587</v>
      </c>
    </row>
    <row r="40" spans="1:34">
      <c r="A40" s="1348"/>
      <c r="B40" s="65"/>
      <c r="C40" s="81"/>
      <c r="D40" s="120"/>
      <c r="E40" s="891" t="s">
        <v>967</v>
      </c>
      <c r="F40" s="891" t="s">
        <v>967</v>
      </c>
      <c r="G40" s="891" t="s">
        <v>967</v>
      </c>
      <c r="H40" s="891" t="s">
        <v>967</v>
      </c>
      <c r="I40" s="359">
        <f t="shared" ref="I40" si="18">SUM(I37:I39)</f>
        <v>15000</v>
      </c>
      <c r="J40" s="139"/>
      <c r="K40" s="111"/>
      <c r="L40" s="440">
        <f>SUM(L37:L39)</f>
        <v>66</v>
      </c>
      <c r="M40" s="443">
        <f>SUM(M37:M39)</f>
        <v>0</v>
      </c>
      <c r="N40" s="444">
        <f>IFERROR(AVERAGE(N37:N39),"")</f>
        <v>0</v>
      </c>
      <c r="O40" s="1305"/>
      <c r="P40" s="1343"/>
      <c r="Q40" s="352">
        <f>SUM(Q37:Q39)</f>
        <v>0</v>
      </c>
      <c r="R40" s="70">
        <f>SUM(R37:R39)</f>
        <v>0</v>
      </c>
      <c r="T40" s="68"/>
      <c r="U40" s="469"/>
      <c r="W40" s="478"/>
      <c r="X40" s="67"/>
      <c r="Y40" s="67"/>
      <c r="Z40" s="67"/>
      <c r="AA40" s="67"/>
      <c r="AB40" s="67"/>
      <c r="AC40" s="67"/>
      <c r="AD40" s="67"/>
      <c r="AE40" s="67"/>
      <c r="AF40" s="67"/>
      <c r="AG40" s="67"/>
      <c r="AH40" s="467"/>
    </row>
    <row r="41" spans="1:34" ht="31.5" customHeight="1">
      <c r="A41" s="1401" t="s">
        <v>1067</v>
      </c>
      <c r="B41" s="167">
        <f>B39+1</f>
        <v>24</v>
      </c>
      <c r="C41" s="180" t="s">
        <v>496</v>
      </c>
      <c r="D41" s="825" t="s">
        <v>588</v>
      </c>
      <c r="E41" s="841" t="s">
        <v>967</v>
      </c>
      <c r="F41" s="841" t="s">
        <v>967</v>
      </c>
      <c r="G41" s="841" t="s">
        <v>967</v>
      </c>
      <c r="H41" s="841" t="s">
        <v>967</v>
      </c>
      <c r="I41" s="774">
        <v>5781</v>
      </c>
      <c r="J41" s="182"/>
      <c r="K41" s="171" t="s">
        <v>671</v>
      </c>
      <c r="L41" s="1125">
        <v>1</v>
      </c>
      <c r="M41" s="58"/>
      <c r="N41" s="109">
        <f t="shared" ref="N41:N42" si="19">IF(L41,MIN(1,M41/L41),"")</f>
        <v>0</v>
      </c>
      <c r="O41" s="1305"/>
      <c r="P41" s="1343"/>
      <c r="Q41" s="165"/>
      <c r="R41" s="257"/>
      <c r="T41" s="466" t="s">
        <v>651</v>
      </c>
      <c r="U41" s="497" t="s">
        <v>1068</v>
      </c>
      <c r="W41" s="500"/>
      <c r="X41" s="501"/>
      <c r="Y41" s="501"/>
      <c r="Z41" s="502"/>
      <c r="AA41" s="503"/>
      <c r="AB41" s="501"/>
      <c r="AC41" s="501"/>
      <c r="AD41" s="501"/>
      <c r="AE41" s="504"/>
      <c r="AF41" s="505"/>
      <c r="AG41" s="498"/>
      <c r="AH41" s="499"/>
    </row>
    <row r="42" spans="1:34" ht="31.5" customHeight="1">
      <c r="A42" s="1348"/>
      <c r="B42" s="167">
        <f>B41+1</f>
        <v>25</v>
      </c>
      <c r="C42" s="181" t="s">
        <v>498</v>
      </c>
      <c r="D42" s="825" t="s">
        <v>595</v>
      </c>
      <c r="E42" s="841" t="s">
        <v>967</v>
      </c>
      <c r="F42" s="841" t="s">
        <v>967</v>
      </c>
      <c r="G42" s="841" t="s">
        <v>967</v>
      </c>
      <c r="H42" s="841" t="s">
        <v>967</v>
      </c>
      <c r="I42" s="774">
        <v>3846</v>
      </c>
      <c r="J42" s="183"/>
      <c r="K42" s="171" t="s">
        <v>674</v>
      </c>
      <c r="L42" s="1125">
        <v>12</v>
      </c>
      <c r="M42" s="58"/>
      <c r="N42" s="109">
        <f t="shared" si="19"/>
        <v>0</v>
      </c>
      <c r="O42" s="1305"/>
      <c r="P42" s="1343"/>
      <c r="Q42" s="165"/>
      <c r="R42" s="257"/>
      <c r="T42" s="466" t="s">
        <v>660</v>
      </c>
      <c r="U42" s="497" t="s">
        <v>675</v>
      </c>
      <c r="W42" s="500" t="s">
        <v>676</v>
      </c>
      <c r="X42" s="501" t="s">
        <v>677</v>
      </c>
      <c r="Y42" s="501" t="s">
        <v>678</v>
      </c>
      <c r="Z42" s="502" t="s">
        <v>412</v>
      </c>
      <c r="AA42" s="503" t="s">
        <v>679</v>
      </c>
      <c r="AB42" s="501" t="s">
        <v>585</v>
      </c>
      <c r="AC42" s="501" t="s">
        <v>680</v>
      </c>
      <c r="AD42" s="501" t="s">
        <v>412</v>
      </c>
      <c r="AE42" s="504" t="s">
        <v>983</v>
      </c>
      <c r="AF42" s="505" t="s">
        <v>585</v>
      </c>
      <c r="AG42" s="498" t="s">
        <v>682</v>
      </c>
      <c r="AH42" s="499" t="s">
        <v>587</v>
      </c>
    </row>
    <row r="43" spans="1:34">
      <c r="A43" s="1348"/>
      <c r="B43" s="65"/>
      <c r="C43" s="81"/>
      <c r="D43" s="120"/>
      <c r="E43" s="891" t="s">
        <v>967</v>
      </c>
      <c r="F43" s="891" t="s">
        <v>967</v>
      </c>
      <c r="G43" s="891" t="s">
        <v>967</v>
      </c>
      <c r="H43" s="891" t="s">
        <v>967</v>
      </c>
      <c r="I43" s="359">
        <f t="shared" ref="I43" si="20">SUM(I41:I42)</f>
        <v>9627</v>
      </c>
      <c r="J43" s="139"/>
      <c r="K43" s="111"/>
      <c r="L43" s="440">
        <f>SUM(L41:L42)</f>
        <v>13</v>
      </c>
      <c r="M43" s="443">
        <f>SUM(M41:M42)</f>
        <v>0</v>
      </c>
      <c r="N43" s="444">
        <f>IFERROR(AVERAGE(N41:N42),"")</f>
        <v>0</v>
      </c>
      <c r="O43" s="1305"/>
      <c r="P43" s="1343"/>
      <c r="Q43" s="352">
        <f>SUM(Q41:Q42)</f>
        <v>0</v>
      </c>
      <c r="R43" s="70">
        <f>SUM(R41:R42)</f>
        <v>0</v>
      </c>
      <c r="T43" s="68"/>
      <c r="U43" s="469"/>
      <c r="W43" s="478"/>
      <c r="X43" s="67"/>
      <c r="Y43" s="67"/>
      <c r="Z43" s="67"/>
      <c r="AA43" s="67"/>
      <c r="AB43" s="67"/>
      <c r="AC43" s="67"/>
      <c r="AD43" s="67"/>
      <c r="AE43" s="67"/>
      <c r="AF43" s="67"/>
      <c r="AG43" s="67"/>
      <c r="AH43" s="467"/>
    </row>
    <row r="44" spans="1:34" ht="31.5" customHeight="1">
      <c r="A44" s="1404" t="s">
        <v>1069</v>
      </c>
      <c r="B44" s="167">
        <f>B42+1</f>
        <v>26</v>
      </c>
      <c r="C44" s="180" t="s">
        <v>684</v>
      </c>
      <c r="D44" s="823" t="s">
        <v>78</v>
      </c>
      <c r="E44" s="889" t="s">
        <v>967</v>
      </c>
      <c r="F44" s="844" t="s">
        <v>967</v>
      </c>
      <c r="G44" s="844" t="s">
        <v>967</v>
      </c>
      <c r="H44" s="844" t="s">
        <v>967</v>
      </c>
      <c r="I44" s="356"/>
      <c r="J44" s="182"/>
      <c r="K44" s="171"/>
      <c r="L44" s="1125"/>
      <c r="M44" s="58"/>
      <c r="N44" s="109" t="str">
        <f t="shared" ref="N44:N46" si="21">IF(L44,MIN(1,M44/L44),"")</f>
        <v/>
      </c>
      <c r="O44" s="1305"/>
      <c r="P44" s="1343"/>
      <c r="Q44" s="165"/>
      <c r="R44" s="257"/>
      <c r="T44" s="466" t="s">
        <v>686</v>
      </c>
      <c r="U44" s="497"/>
      <c r="W44" s="500"/>
      <c r="X44" s="501"/>
      <c r="Y44" s="501"/>
      <c r="Z44" s="502"/>
      <c r="AA44" s="503"/>
      <c r="AB44" s="501"/>
      <c r="AC44" s="501"/>
      <c r="AD44" s="501"/>
      <c r="AE44" s="504"/>
      <c r="AF44" s="505"/>
      <c r="AG44" s="498"/>
      <c r="AH44" s="499"/>
    </row>
    <row r="45" spans="1:34" ht="31.5" customHeight="1">
      <c r="A45" s="1379"/>
      <c r="B45" s="167">
        <f>B44+1</f>
        <v>27</v>
      </c>
      <c r="C45" s="181" t="s">
        <v>688</v>
      </c>
      <c r="D45" s="825" t="s">
        <v>595</v>
      </c>
      <c r="E45" s="889" t="s">
        <v>967</v>
      </c>
      <c r="F45" s="841" t="s">
        <v>967</v>
      </c>
      <c r="G45" s="841" t="s">
        <v>967</v>
      </c>
      <c r="H45" s="841" t="s">
        <v>967</v>
      </c>
      <c r="I45" s="774">
        <v>4248</v>
      </c>
      <c r="J45" s="183"/>
      <c r="K45" s="171" t="s">
        <v>689</v>
      </c>
      <c r="L45" s="1125">
        <v>2</v>
      </c>
      <c r="M45" s="58"/>
      <c r="N45" s="109">
        <f t="shared" si="21"/>
        <v>0</v>
      </c>
      <c r="O45" s="1305"/>
      <c r="P45" s="1343"/>
      <c r="Q45" s="165"/>
      <c r="R45" s="257"/>
      <c r="T45" s="466" t="s">
        <v>690</v>
      </c>
      <c r="U45" s="497" t="s">
        <v>1070</v>
      </c>
      <c r="W45" s="500"/>
      <c r="X45" s="501"/>
      <c r="Y45" s="501"/>
      <c r="Z45" s="502"/>
      <c r="AA45" s="503"/>
      <c r="AB45" s="501"/>
      <c r="AC45" s="501"/>
      <c r="AD45" s="501"/>
      <c r="AE45" s="504"/>
      <c r="AF45" s="505"/>
      <c r="AG45" s="498"/>
      <c r="AH45" s="499"/>
    </row>
    <row r="46" spans="1:34" ht="31.5" customHeight="1">
      <c r="A46" s="1379"/>
      <c r="B46" s="167">
        <f>B45+1</f>
        <v>28</v>
      </c>
      <c r="C46" s="181" t="s">
        <v>692</v>
      </c>
      <c r="D46" s="825" t="s">
        <v>588</v>
      </c>
      <c r="E46" s="841" t="s">
        <v>967</v>
      </c>
      <c r="F46" s="841" t="s">
        <v>967</v>
      </c>
      <c r="G46" s="841" t="s">
        <v>967</v>
      </c>
      <c r="H46" s="841" t="s">
        <v>967</v>
      </c>
      <c r="I46" s="774">
        <v>5348</v>
      </c>
      <c r="J46" s="184"/>
      <c r="K46" s="171" t="s">
        <v>539</v>
      </c>
      <c r="L46" s="1125">
        <v>12</v>
      </c>
      <c r="M46" s="58"/>
      <c r="N46" s="109">
        <f t="shared" si="21"/>
        <v>0</v>
      </c>
      <c r="O46" s="1346"/>
      <c r="P46" s="1344"/>
      <c r="Q46" s="165"/>
      <c r="R46" s="257"/>
      <c r="T46" s="466" t="s">
        <v>693</v>
      </c>
      <c r="U46" s="497" t="s">
        <v>694</v>
      </c>
      <c r="W46" s="500" t="s">
        <v>412</v>
      </c>
      <c r="X46" s="501" t="s">
        <v>412</v>
      </c>
      <c r="Y46" s="501" t="s">
        <v>412</v>
      </c>
      <c r="Z46" s="502" t="s">
        <v>412</v>
      </c>
      <c r="AA46" s="503" t="s">
        <v>412</v>
      </c>
      <c r="AB46" s="501" t="s">
        <v>412</v>
      </c>
      <c r="AC46" s="501" t="s">
        <v>412</v>
      </c>
      <c r="AD46" s="501" t="s">
        <v>412</v>
      </c>
      <c r="AE46" s="504" t="s">
        <v>412</v>
      </c>
      <c r="AF46" s="505" t="s">
        <v>585</v>
      </c>
      <c r="AG46" s="498" t="s">
        <v>682</v>
      </c>
      <c r="AH46" s="499" t="s">
        <v>587</v>
      </c>
    </row>
    <row r="47" spans="1:34">
      <c r="A47" s="1379"/>
      <c r="B47" s="65"/>
      <c r="C47" s="81"/>
      <c r="D47" s="120"/>
      <c r="E47" s="891" t="s">
        <v>967</v>
      </c>
      <c r="F47" s="891" t="s">
        <v>967</v>
      </c>
      <c r="G47" s="891" t="s">
        <v>967</v>
      </c>
      <c r="H47" s="891" t="s">
        <v>967</v>
      </c>
      <c r="I47" s="359">
        <f t="shared" ref="I47" si="22">SUM(I44:I46)</f>
        <v>9596</v>
      </c>
      <c r="J47" s="139"/>
      <c r="K47" s="111"/>
      <c r="L47" s="440">
        <f>SUM(L44:L46)</f>
        <v>14</v>
      </c>
      <c r="M47" s="443">
        <f>SUM(M44:M46)</f>
        <v>0</v>
      </c>
      <c r="N47" s="444">
        <f>IFERROR(AVERAGE(N44:N46),"")</f>
        <v>0</v>
      </c>
      <c r="O47" s="379">
        <f>IFERROR(AVERAGE(N37:N39,N41:N42,N44:N46),"")</f>
        <v>0</v>
      </c>
      <c r="P47" s="379">
        <f>IFERROR(AVERAGE(N32:N34,N37:N39,N41:N42,N44:N46),"")</f>
        <v>0</v>
      </c>
      <c r="Q47" s="352">
        <f>SUM(Q44:Q46)</f>
        <v>0</v>
      </c>
      <c r="R47" s="70">
        <f>SUM(R44:R46)</f>
        <v>0</v>
      </c>
      <c r="T47" s="68"/>
      <c r="U47" s="469"/>
      <c r="W47" s="478"/>
      <c r="X47" s="67"/>
      <c r="Y47" s="67"/>
      <c r="Z47" s="67"/>
      <c r="AA47" s="67"/>
      <c r="AB47" s="67"/>
      <c r="AC47" s="67"/>
      <c r="AD47" s="67"/>
      <c r="AE47" s="67"/>
      <c r="AF47" s="67"/>
      <c r="AG47" s="67"/>
      <c r="AH47" s="467"/>
    </row>
    <row r="48" spans="1:34" ht="65.25" customHeight="1">
      <c r="A48" s="339" t="s">
        <v>296</v>
      </c>
      <c r="B48" s="340"/>
      <c r="C48" s="340"/>
      <c r="D48" s="340"/>
      <c r="E48" s="845" t="s">
        <v>967</v>
      </c>
      <c r="F48" s="845" t="s">
        <v>967</v>
      </c>
      <c r="G48" s="845" t="s">
        <v>967</v>
      </c>
      <c r="H48" s="845" t="s">
        <v>967</v>
      </c>
      <c r="I48" s="836">
        <f>I49+I72+I89</f>
        <v>953243</v>
      </c>
      <c r="J48" s="342"/>
      <c r="K48" s="343"/>
      <c r="L48" s="344"/>
      <c r="M48" s="345"/>
      <c r="N48" s="346"/>
      <c r="O48" s="346"/>
      <c r="P48" s="347"/>
      <c r="Q48" s="350">
        <f t="shared" ref="Q48:R48" si="23">Q49+Q72+Q89</f>
        <v>0</v>
      </c>
      <c r="R48" s="348">
        <f t="shared" si="23"/>
        <v>0</v>
      </c>
      <c r="T48" s="470" t="s">
        <v>695</v>
      </c>
      <c r="U48" s="471"/>
      <c r="W48" s="474" t="s">
        <v>296</v>
      </c>
      <c r="X48" s="475"/>
      <c r="Y48" s="475"/>
      <c r="Z48" s="475"/>
      <c r="AA48" s="475"/>
      <c r="AB48" s="475"/>
      <c r="AC48" s="475"/>
      <c r="AD48" s="475"/>
      <c r="AE48" s="475"/>
      <c r="AF48" s="475"/>
      <c r="AG48" s="475"/>
      <c r="AH48" s="476"/>
    </row>
    <row r="49" spans="1:34" ht="30.75" customHeight="1">
      <c r="A49" s="360" t="s">
        <v>297</v>
      </c>
      <c r="B49" s="361"/>
      <c r="C49" s="361"/>
      <c r="D49" s="822"/>
      <c r="E49" s="842" t="s">
        <v>248</v>
      </c>
      <c r="F49" s="842" t="s">
        <v>249</v>
      </c>
      <c r="G49" s="842" t="s">
        <v>250</v>
      </c>
      <c r="H49" s="842" t="s">
        <v>251</v>
      </c>
      <c r="I49" s="835">
        <f t="shared" ref="I49" si="24">I56+I63+I71</f>
        <v>596864</v>
      </c>
      <c r="J49" s="366"/>
      <c r="K49" s="367"/>
      <c r="L49" s="368"/>
      <c r="M49" s="369"/>
      <c r="N49" s="370"/>
      <c r="O49" s="371"/>
      <c r="P49" s="372"/>
      <c r="Q49" s="373">
        <f t="shared" ref="Q49:R49" si="25">Q56+Q63+Q71</f>
        <v>0</v>
      </c>
      <c r="R49" s="374">
        <f t="shared" si="25"/>
        <v>0</v>
      </c>
      <c r="T49" s="464" t="s">
        <v>297</v>
      </c>
      <c r="U49" s="465"/>
      <c r="W49" s="464" t="s">
        <v>297</v>
      </c>
      <c r="X49" s="458"/>
      <c r="Y49" s="458"/>
      <c r="Z49" s="458"/>
      <c r="AA49" s="458"/>
      <c r="AB49" s="458"/>
      <c r="AC49" s="458"/>
      <c r="AD49" s="458"/>
      <c r="AE49" s="458"/>
      <c r="AF49" s="458"/>
      <c r="AG49" s="458"/>
      <c r="AH49" s="465"/>
    </row>
    <row r="50" spans="1:34" ht="31.5" customHeight="1">
      <c r="A50" s="1382" t="s">
        <v>1071</v>
      </c>
      <c r="B50" s="167">
        <f>B46+1</f>
        <v>29</v>
      </c>
      <c r="C50" s="169" t="s">
        <v>299</v>
      </c>
      <c r="D50" s="828" t="s">
        <v>588</v>
      </c>
      <c r="E50" s="841" t="s">
        <v>967</v>
      </c>
      <c r="F50" s="841" t="s">
        <v>967</v>
      </c>
      <c r="G50" s="841" t="s">
        <v>967</v>
      </c>
      <c r="H50" s="841" t="s">
        <v>967</v>
      </c>
      <c r="I50" s="774">
        <v>5000</v>
      </c>
      <c r="J50" s="182"/>
      <c r="K50" s="179" t="s">
        <v>696</v>
      </c>
      <c r="L50" s="175">
        <v>1</v>
      </c>
      <c r="M50" s="58"/>
      <c r="N50" s="109">
        <f t="shared" ref="N50:N55" si="26">IF(L50,MIN(1,M50/L50),"")</f>
        <v>0</v>
      </c>
      <c r="O50" s="1336"/>
      <c r="P50" s="1304"/>
      <c r="Q50" s="165"/>
      <c r="R50" s="260"/>
      <c r="T50" s="466" t="s">
        <v>697</v>
      </c>
      <c r="U50" s="497" t="s">
        <v>1072</v>
      </c>
      <c r="W50" s="500"/>
      <c r="X50" s="501"/>
      <c r="Y50" s="501"/>
      <c r="Z50" s="502"/>
      <c r="AA50" s="503"/>
      <c r="AB50" s="501"/>
      <c r="AC50" s="501"/>
      <c r="AD50" s="501"/>
      <c r="AE50" s="504"/>
      <c r="AF50" s="505"/>
      <c r="AG50" s="498"/>
      <c r="AH50" s="499"/>
    </row>
    <row r="51" spans="1:34" ht="36.75" customHeight="1">
      <c r="A51" s="1322"/>
      <c r="B51" s="167">
        <f>B50+1</f>
        <v>30</v>
      </c>
      <c r="C51" s="170" t="s">
        <v>300</v>
      </c>
      <c r="D51" s="829" t="s">
        <v>595</v>
      </c>
      <c r="E51" s="889" t="s">
        <v>967</v>
      </c>
      <c r="F51" s="841" t="s">
        <v>967</v>
      </c>
      <c r="G51" s="841" t="s">
        <v>967</v>
      </c>
      <c r="H51" s="841" t="s">
        <v>967</v>
      </c>
      <c r="I51" s="774">
        <v>16852</v>
      </c>
      <c r="J51" s="183"/>
      <c r="K51" s="171" t="s">
        <v>699</v>
      </c>
      <c r="L51" s="172">
        <v>2</v>
      </c>
      <c r="M51" s="58"/>
      <c r="N51" s="109">
        <f t="shared" si="26"/>
        <v>0</v>
      </c>
      <c r="O51" s="1337"/>
      <c r="P51" s="1305"/>
      <c r="Q51" s="165"/>
      <c r="R51" s="257"/>
      <c r="T51" s="466" t="s">
        <v>700</v>
      </c>
      <c r="U51" s="497" t="s">
        <v>1073</v>
      </c>
      <c r="W51" s="500" t="s">
        <v>412</v>
      </c>
      <c r="X51" s="501" t="s">
        <v>412</v>
      </c>
      <c r="Y51" s="501" t="s">
        <v>412</v>
      </c>
      <c r="Z51" s="502" t="s">
        <v>412</v>
      </c>
      <c r="AA51" s="503" t="s">
        <v>412</v>
      </c>
      <c r="AB51" s="501" t="s">
        <v>412</v>
      </c>
      <c r="AC51" s="501" t="s">
        <v>412</v>
      </c>
      <c r="AD51" s="501" t="s">
        <v>412</v>
      </c>
      <c r="AE51" s="504" t="s">
        <v>412</v>
      </c>
      <c r="AF51" s="505" t="s">
        <v>585</v>
      </c>
      <c r="AG51" s="498" t="s">
        <v>987</v>
      </c>
      <c r="AH51" s="499" t="s">
        <v>587</v>
      </c>
    </row>
    <row r="52" spans="1:34" ht="31.5" customHeight="1">
      <c r="A52" s="1322"/>
      <c r="B52" s="167">
        <f t="shared" ref="B52:B55" si="27">B51+1</f>
        <v>31</v>
      </c>
      <c r="C52" s="170" t="s">
        <v>301</v>
      </c>
      <c r="D52" s="829" t="s">
        <v>588</v>
      </c>
      <c r="E52" s="889" t="s">
        <v>967</v>
      </c>
      <c r="F52" s="889" t="s">
        <v>967</v>
      </c>
      <c r="G52" s="889" t="s">
        <v>967</v>
      </c>
      <c r="H52" s="889" t="s">
        <v>967</v>
      </c>
      <c r="I52" s="356"/>
      <c r="J52" s="183"/>
      <c r="K52" s="171"/>
      <c r="L52" s="172"/>
      <c r="M52" s="58"/>
      <c r="N52" s="109" t="str">
        <f t="shared" si="26"/>
        <v/>
      </c>
      <c r="O52" s="1337"/>
      <c r="P52" s="1305"/>
      <c r="Q52" s="165"/>
      <c r="R52" s="257"/>
      <c r="T52" s="466" t="s">
        <v>703</v>
      </c>
      <c r="U52" s="497"/>
      <c r="W52" s="500"/>
      <c r="X52" s="501"/>
      <c r="Y52" s="501"/>
      <c r="Z52" s="502"/>
      <c r="AA52" s="503"/>
      <c r="AB52" s="501"/>
      <c r="AC52" s="501"/>
      <c r="AD52" s="501"/>
      <c r="AE52" s="504"/>
      <c r="AF52" s="505"/>
      <c r="AG52" s="498"/>
      <c r="AH52" s="499"/>
    </row>
    <row r="53" spans="1:34" ht="31.5" customHeight="1">
      <c r="A53" s="1322"/>
      <c r="B53" s="167">
        <f t="shared" si="27"/>
        <v>32</v>
      </c>
      <c r="C53" s="170" t="s">
        <v>302</v>
      </c>
      <c r="D53" s="829" t="s">
        <v>588</v>
      </c>
      <c r="E53" s="889" t="s">
        <v>967</v>
      </c>
      <c r="F53" s="889" t="s">
        <v>967</v>
      </c>
      <c r="G53" s="889" t="s">
        <v>967</v>
      </c>
      <c r="H53" s="889" t="s">
        <v>967</v>
      </c>
      <c r="I53" s="356"/>
      <c r="J53" s="183"/>
      <c r="K53" s="171"/>
      <c r="L53" s="172"/>
      <c r="M53" s="58"/>
      <c r="N53" s="109" t="str">
        <f t="shared" si="26"/>
        <v/>
      </c>
      <c r="O53" s="1337"/>
      <c r="P53" s="1305"/>
      <c r="Q53" s="165"/>
      <c r="R53" s="257"/>
      <c r="T53" s="466" t="s">
        <v>705</v>
      </c>
      <c r="U53" s="497"/>
      <c r="W53" s="500"/>
      <c r="X53" s="501"/>
      <c r="Y53" s="501"/>
      <c r="Z53" s="502"/>
      <c r="AA53" s="503"/>
      <c r="AB53" s="501"/>
      <c r="AC53" s="501"/>
      <c r="AD53" s="501"/>
      <c r="AE53" s="504"/>
      <c r="AF53" s="505"/>
      <c r="AG53" s="498"/>
      <c r="AH53" s="499"/>
    </row>
    <row r="54" spans="1:34" ht="36.75" customHeight="1">
      <c r="A54" s="1322"/>
      <c r="B54" s="167">
        <f t="shared" si="27"/>
        <v>33</v>
      </c>
      <c r="C54" s="170" t="s">
        <v>303</v>
      </c>
      <c r="D54" s="829" t="s">
        <v>588</v>
      </c>
      <c r="E54" s="889" t="s">
        <v>967</v>
      </c>
      <c r="F54" s="841" t="s">
        <v>967</v>
      </c>
      <c r="G54" s="841" t="s">
        <v>967</v>
      </c>
      <c r="H54" s="841" t="s">
        <v>967</v>
      </c>
      <c r="I54" s="774">
        <v>34615</v>
      </c>
      <c r="J54" s="183"/>
      <c r="K54" s="171" t="s">
        <v>706</v>
      </c>
      <c r="L54" s="172">
        <v>4</v>
      </c>
      <c r="M54" s="58"/>
      <c r="N54" s="109">
        <f t="shared" si="26"/>
        <v>0</v>
      </c>
      <c r="O54" s="1337"/>
      <c r="P54" s="1305"/>
      <c r="Q54" s="165"/>
      <c r="R54" s="257"/>
      <c r="T54" s="466" t="s">
        <v>707</v>
      </c>
      <c r="U54" s="497" t="s">
        <v>1074</v>
      </c>
      <c r="W54" s="500" t="s">
        <v>585</v>
      </c>
      <c r="X54" s="501" t="s">
        <v>412</v>
      </c>
      <c r="Y54" s="501" t="s">
        <v>585</v>
      </c>
      <c r="Z54" s="502" t="s">
        <v>412</v>
      </c>
      <c r="AA54" s="503" t="s">
        <v>709</v>
      </c>
      <c r="AB54" s="501" t="s">
        <v>585</v>
      </c>
      <c r="AC54" s="501" t="s">
        <v>710</v>
      </c>
      <c r="AD54" s="501" t="s">
        <v>585</v>
      </c>
      <c r="AE54" s="504" t="s">
        <v>711</v>
      </c>
      <c r="AF54" s="505" t="s">
        <v>585</v>
      </c>
      <c r="AG54" s="498" t="s">
        <v>712</v>
      </c>
      <c r="AH54" s="499" t="s">
        <v>587</v>
      </c>
    </row>
    <row r="55" spans="1:34" ht="39.75" customHeight="1">
      <c r="A55" s="1322"/>
      <c r="B55" s="167">
        <f t="shared" si="27"/>
        <v>34</v>
      </c>
      <c r="C55" s="892" t="s">
        <v>1075</v>
      </c>
      <c r="D55" s="830" t="s">
        <v>588</v>
      </c>
      <c r="E55" s="889" t="s">
        <v>967</v>
      </c>
      <c r="F55" s="841" t="s">
        <v>967</v>
      </c>
      <c r="G55" s="841" t="s">
        <v>967</v>
      </c>
      <c r="H55" s="841" t="s">
        <v>967</v>
      </c>
      <c r="I55" s="774">
        <v>40769</v>
      </c>
      <c r="J55" s="184"/>
      <c r="K55" s="110" t="s">
        <v>713</v>
      </c>
      <c r="L55" s="172">
        <v>4</v>
      </c>
      <c r="M55" s="58"/>
      <c r="N55" s="109">
        <f t="shared" si="26"/>
        <v>0</v>
      </c>
      <c r="O55" s="1337"/>
      <c r="P55" s="1305"/>
      <c r="Q55" s="165"/>
      <c r="R55" s="257"/>
      <c r="T55" s="466" t="s">
        <v>714</v>
      </c>
      <c r="U55" s="497" t="s">
        <v>1076</v>
      </c>
      <c r="W55" s="500" t="s">
        <v>716</v>
      </c>
      <c r="X55" s="501" t="s">
        <v>412</v>
      </c>
      <c r="Y55" s="501" t="s">
        <v>585</v>
      </c>
      <c r="Z55" s="502" t="s">
        <v>585</v>
      </c>
      <c r="AA55" s="503" t="s">
        <v>717</v>
      </c>
      <c r="AB55" s="501" t="s">
        <v>585</v>
      </c>
      <c r="AC55" s="501" t="s">
        <v>585</v>
      </c>
      <c r="AD55" s="501" t="s">
        <v>412</v>
      </c>
      <c r="AE55" s="504" t="s">
        <v>711</v>
      </c>
      <c r="AF55" s="505" t="s">
        <v>585</v>
      </c>
      <c r="AG55" s="498" t="s">
        <v>718</v>
      </c>
      <c r="AH55" s="499" t="s">
        <v>587</v>
      </c>
    </row>
    <row r="56" spans="1:34">
      <c r="A56" s="1323"/>
      <c r="B56" s="65"/>
      <c r="C56" s="81"/>
      <c r="D56" s="120"/>
      <c r="E56" s="891" t="s">
        <v>967</v>
      </c>
      <c r="F56" s="891" t="s">
        <v>967</v>
      </c>
      <c r="G56" s="891" t="s">
        <v>967</v>
      </c>
      <c r="H56" s="891" t="s">
        <v>967</v>
      </c>
      <c r="I56" s="359">
        <f>SUM(I50:I55)</f>
        <v>97236</v>
      </c>
      <c r="J56" s="139"/>
      <c r="K56" s="442"/>
      <c r="L56" s="440">
        <f>SUM(L50:L55)</f>
        <v>11</v>
      </c>
      <c r="M56" s="443">
        <f>SUM(M50:M55)</f>
        <v>0</v>
      </c>
      <c r="N56" s="444">
        <f>IFERROR(AVERAGE(N50:N55),"")</f>
        <v>0</v>
      </c>
      <c r="O56" s="1337"/>
      <c r="P56" s="1305"/>
      <c r="Q56" s="352">
        <f>SUM(Q50:Q55)</f>
        <v>0</v>
      </c>
      <c r="R56" s="70">
        <f>SUM(R50:R55)</f>
        <v>0</v>
      </c>
      <c r="T56" s="68"/>
      <c r="U56" s="469"/>
      <c r="W56" s="478"/>
      <c r="X56" s="67"/>
      <c r="Y56" s="67"/>
      <c r="Z56" s="67"/>
      <c r="AA56" s="67"/>
      <c r="AB56" s="67"/>
      <c r="AC56" s="67"/>
      <c r="AD56" s="67"/>
      <c r="AE56" s="67"/>
      <c r="AF56" s="67"/>
      <c r="AG56" s="67"/>
      <c r="AH56" s="467"/>
    </row>
    <row r="57" spans="1:34" ht="31.5" customHeight="1">
      <c r="A57" s="1402" t="s">
        <v>1077</v>
      </c>
      <c r="B57" s="167">
        <f>B55+1</f>
        <v>35</v>
      </c>
      <c r="C57" s="170" t="s">
        <v>306</v>
      </c>
      <c r="D57" s="828" t="s">
        <v>595</v>
      </c>
      <c r="E57" s="841" t="s">
        <v>967</v>
      </c>
      <c r="F57" s="841" t="s">
        <v>967</v>
      </c>
      <c r="G57" s="841" t="s">
        <v>967</v>
      </c>
      <c r="H57" s="889" t="s">
        <v>967</v>
      </c>
      <c r="I57" s="774">
        <v>119231</v>
      </c>
      <c r="J57" s="182"/>
      <c r="K57" s="171" t="s">
        <v>719</v>
      </c>
      <c r="L57" s="172">
        <v>2</v>
      </c>
      <c r="M57" s="58"/>
      <c r="N57" s="109">
        <f>IF(L57,MIN(1,M57/L57),"")</f>
        <v>0</v>
      </c>
      <c r="O57" s="1337"/>
      <c r="P57" s="1305"/>
      <c r="Q57" s="165"/>
      <c r="R57" s="257"/>
      <c r="T57" s="466" t="s">
        <v>720</v>
      </c>
      <c r="U57" s="497" t="s">
        <v>1078</v>
      </c>
      <c r="W57" s="500" t="s">
        <v>412</v>
      </c>
      <c r="X57" s="501" t="s">
        <v>412</v>
      </c>
      <c r="Y57" s="501" t="s">
        <v>412</v>
      </c>
      <c r="Z57" s="502" t="s">
        <v>412</v>
      </c>
      <c r="AA57" s="503" t="s">
        <v>412</v>
      </c>
      <c r="AB57" s="501" t="s">
        <v>412</v>
      </c>
      <c r="AC57" s="501" t="s">
        <v>412</v>
      </c>
      <c r="AD57" s="501" t="s">
        <v>412</v>
      </c>
      <c r="AE57" s="504" t="s">
        <v>711</v>
      </c>
      <c r="AF57" s="505" t="s">
        <v>585</v>
      </c>
      <c r="AG57" s="498" t="s">
        <v>649</v>
      </c>
      <c r="AH57" s="499" t="s">
        <v>587</v>
      </c>
    </row>
    <row r="58" spans="1:34" ht="31.5" customHeight="1">
      <c r="A58" s="1357"/>
      <c r="B58" s="167">
        <f>B57+1</f>
        <v>36</v>
      </c>
      <c r="C58" s="170" t="s">
        <v>307</v>
      </c>
      <c r="D58" s="829" t="s">
        <v>78</v>
      </c>
      <c r="E58" s="889" t="s">
        <v>967</v>
      </c>
      <c r="F58" s="889" t="s">
        <v>967</v>
      </c>
      <c r="G58" s="889" t="s">
        <v>967</v>
      </c>
      <c r="H58" s="889" t="s">
        <v>967</v>
      </c>
      <c r="I58" s="356"/>
      <c r="J58" s="183"/>
      <c r="K58" s="110"/>
      <c r="L58" s="172"/>
      <c r="M58" s="58"/>
      <c r="N58" s="109" t="str">
        <f t="shared" ref="N58:N59" si="28">IF(L58,MIN(1,M58/L58),"")</f>
        <v/>
      </c>
      <c r="O58" s="1337"/>
      <c r="P58" s="1305"/>
      <c r="Q58" s="165"/>
      <c r="R58" s="257"/>
      <c r="T58" s="466" t="s">
        <v>723</v>
      </c>
      <c r="U58" s="497"/>
      <c r="W58" s="500"/>
      <c r="X58" s="501"/>
      <c r="Y58" s="501"/>
      <c r="Z58" s="502"/>
      <c r="AA58" s="503"/>
      <c r="AB58" s="501"/>
      <c r="AC58" s="501"/>
      <c r="AD58" s="501"/>
      <c r="AE58" s="504"/>
      <c r="AF58" s="505"/>
      <c r="AG58" s="498"/>
      <c r="AH58" s="499"/>
    </row>
    <row r="59" spans="1:34" ht="31.5" customHeight="1">
      <c r="A59" s="1357"/>
      <c r="B59" s="167">
        <f t="shared" ref="B59:B62" si="29">B58+1</f>
        <v>37</v>
      </c>
      <c r="C59" s="170" t="s">
        <v>308</v>
      </c>
      <c r="D59" s="829" t="s">
        <v>595</v>
      </c>
      <c r="E59" s="844" t="s">
        <v>967</v>
      </c>
      <c r="F59" s="844" t="s">
        <v>967</v>
      </c>
      <c r="G59" s="844" t="s">
        <v>967</v>
      </c>
      <c r="H59" s="844" t="s">
        <v>967</v>
      </c>
      <c r="I59" s="356"/>
      <c r="J59" s="183"/>
      <c r="K59" s="110"/>
      <c r="L59" s="172"/>
      <c r="M59" s="58"/>
      <c r="N59" s="109" t="str">
        <f t="shared" si="28"/>
        <v/>
      </c>
      <c r="O59" s="1337"/>
      <c r="P59" s="1305"/>
      <c r="Q59" s="165"/>
      <c r="R59" s="257"/>
      <c r="T59" s="466" t="s">
        <v>727</v>
      </c>
      <c r="U59" s="497"/>
      <c r="W59" s="500"/>
      <c r="X59" s="501"/>
      <c r="Y59" s="501"/>
      <c r="Z59" s="502"/>
      <c r="AA59" s="503"/>
      <c r="AB59" s="501"/>
      <c r="AC59" s="501"/>
      <c r="AD59" s="501"/>
      <c r="AE59" s="504"/>
      <c r="AF59" s="505"/>
      <c r="AG59" s="498"/>
      <c r="AH59" s="499"/>
    </row>
    <row r="60" spans="1:34" ht="31.5" customHeight="1">
      <c r="A60" s="1357"/>
      <c r="B60" s="167">
        <f t="shared" si="29"/>
        <v>38</v>
      </c>
      <c r="C60" s="170" t="s">
        <v>309</v>
      </c>
      <c r="D60" s="829" t="s">
        <v>595</v>
      </c>
      <c r="E60" s="841" t="s">
        <v>967</v>
      </c>
      <c r="F60" s="841" t="s">
        <v>967</v>
      </c>
      <c r="G60" s="841" t="s">
        <v>967</v>
      </c>
      <c r="H60" s="841" t="s">
        <v>967</v>
      </c>
      <c r="I60" s="774">
        <v>7154</v>
      </c>
      <c r="J60" s="183"/>
      <c r="K60" s="171" t="s">
        <v>729</v>
      </c>
      <c r="L60" s="172">
        <v>32</v>
      </c>
      <c r="M60" s="58"/>
      <c r="N60" s="109">
        <f>IF(L60,MIN(1,M60/L60),"")</f>
        <v>0</v>
      </c>
      <c r="O60" s="1337"/>
      <c r="P60" s="1305"/>
      <c r="Q60" s="165"/>
      <c r="R60" s="257"/>
      <c r="T60" s="466" t="s">
        <v>730</v>
      </c>
      <c r="U60" s="497" t="s">
        <v>731</v>
      </c>
      <c r="W60" s="500" t="s">
        <v>412</v>
      </c>
      <c r="X60" s="501" t="s">
        <v>412</v>
      </c>
      <c r="Y60" s="501" t="s">
        <v>412</v>
      </c>
      <c r="Z60" s="502" t="s">
        <v>412</v>
      </c>
      <c r="AA60" s="503" t="s">
        <v>412</v>
      </c>
      <c r="AB60" s="501" t="s">
        <v>412</v>
      </c>
      <c r="AC60" s="501" t="s">
        <v>412</v>
      </c>
      <c r="AD60" s="501" t="s">
        <v>412</v>
      </c>
      <c r="AE60" s="504" t="s">
        <v>412</v>
      </c>
      <c r="AF60" s="505" t="s">
        <v>585</v>
      </c>
      <c r="AG60" s="498" t="s">
        <v>649</v>
      </c>
      <c r="AH60" s="499" t="s">
        <v>587</v>
      </c>
    </row>
    <row r="61" spans="1:34" ht="31.5" customHeight="1">
      <c r="A61" s="1357"/>
      <c r="B61" s="167">
        <f t="shared" si="29"/>
        <v>39</v>
      </c>
      <c r="C61" s="170" t="s">
        <v>310</v>
      </c>
      <c r="D61" s="829" t="s">
        <v>588</v>
      </c>
      <c r="E61" s="889" t="s">
        <v>967</v>
      </c>
      <c r="F61" s="889" t="s">
        <v>967</v>
      </c>
      <c r="G61" s="889" t="s">
        <v>967</v>
      </c>
      <c r="H61" s="889" t="s">
        <v>967</v>
      </c>
      <c r="I61" s="356"/>
      <c r="J61" s="183"/>
      <c r="K61" s="110"/>
      <c r="L61" s="172"/>
      <c r="M61" s="58"/>
      <c r="N61" s="109" t="str">
        <f t="shared" ref="N61:N62" si="30">IF(L61,MIN(1,M61/L61),"")</f>
        <v/>
      </c>
      <c r="O61" s="1337"/>
      <c r="P61" s="1305"/>
      <c r="Q61" s="165"/>
      <c r="R61" s="257"/>
      <c r="T61" s="466" t="s">
        <v>733</v>
      </c>
      <c r="U61" s="497"/>
      <c r="W61" s="500"/>
      <c r="X61" s="501"/>
      <c r="Y61" s="501"/>
      <c r="Z61" s="502"/>
      <c r="AA61" s="503"/>
      <c r="AB61" s="501"/>
      <c r="AC61" s="501"/>
      <c r="AD61" s="501"/>
      <c r="AE61" s="504"/>
      <c r="AF61" s="505"/>
      <c r="AG61" s="498"/>
      <c r="AH61" s="499"/>
    </row>
    <row r="62" spans="1:34" ht="31.5" customHeight="1">
      <c r="A62" s="1357"/>
      <c r="B62" s="167">
        <f t="shared" si="29"/>
        <v>40</v>
      </c>
      <c r="C62" s="170" t="s">
        <v>311</v>
      </c>
      <c r="D62" s="830" t="s">
        <v>595</v>
      </c>
      <c r="E62" s="889" t="s">
        <v>967</v>
      </c>
      <c r="F62" s="841" t="s">
        <v>967</v>
      </c>
      <c r="G62" s="841" t="s">
        <v>967</v>
      </c>
      <c r="H62" s="889" t="s">
        <v>967</v>
      </c>
      <c r="I62" s="774">
        <v>2000</v>
      </c>
      <c r="J62" s="184"/>
      <c r="K62" s="110" t="s">
        <v>737</v>
      </c>
      <c r="L62" s="172">
        <v>2</v>
      </c>
      <c r="M62" s="58"/>
      <c r="N62" s="109">
        <f t="shared" si="30"/>
        <v>0</v>
      </c>
      <c r="O62" s="1337"/>
      <c r="P62" s="1305"/>
      <c r="Q62" s="165"/>
      <c r="R62" s="257"/>
      <c r="T62" s="466" t="s">
        <v>738</v>
      </c>
      <c r="U62" s="497" t="s">
        <v>739</v>
      </c>
      <c r="W62" s="500" t="s">
        <v>412</v>
      </c>
      <c r="X62" s="501" t="s">
        <v>412</v>
      </c>
      <c r="Y62" s="501" t="s">
        <v>585</v>
      </c>
      <c r="Z62" s="502" t="s">
        <v>585</v>
      </c>
      <c r="AA62" s="503" t="s">
        <v>735</v>
      </c>
      <c r="AB62" s="501" t="s">
        <v>412</v>
      </c>
      <c r="AC62" s="501" t="s">
        <v>412</v>
      </c>
      <c r="AD62" s="501" t="s">
        <v>412</v>
      </c>
      <c r="AE62" s="504" t="s">
        <v>412</v>
      </c>
      <c r="AF62" s="505" t="s">
        <v>585</v>
      </c>
      <c r="AG62" s="498" t="s">
        <v>740</v>
      </c>
      <c r="AH62" s="499" t="s">
        <v>587</v>
      </c>
    </row>
    <row r="63" spans="1:34">
      <c r="A63" s="1358"/>
      <c r="B63" s="65"/>
      <c r="C63" s="81"/>
      <c r="D63" s="120"/>
      <c r="E63" s="891" t="s">
        <v>967</v>
      </c>
      <c r="F63" s="891" t="s">
        <v>967</v>
      </c>
      <c r="G63" s="891" t="s">
        <v>967</v>
      </c>
      <c r="H63" s="891" t="s">
        <v>967</v>
      </c>
      <c r="I63" s="359">
        <f t="shared" ref="I63" si="31">SUM(I57:I62)</f>
        <v>128385</v>
      </c>
      <c r="J63" s="139"/>
      <c r="K63" s="111"/>
      <c r="L63" s="440">
        <f>SUM(L57:L62)</f>
        <v>36</v>
      </c>
      <c r="M63" s="443">
        <f>SUM(M57:M62)</f>
        <v>0</v>
      </c>
      <c r="N63" s="444">
        <f>IFERROR(AVERAGE(N57:N62),"")</f>
        <v>0</v>
      </c>
      <c r="O63" s="1337"/>
      <c r="P63" s="1305"/>
      <c r="Q63" s="352">
        <f>SUM(Q57:Q62)</f>
        <v>0</v>
      </c>
      <c r="R63" s="70">
        <f>SUM(R57:R62)</f>
        <v>0</v>
      </c>
      <c r="T63" s="68"/>
      <c r="U63" s="469"/>
      <c r="W63" s="478"/>
      <c r="X63" s="67"/>
      <c r="Y63" s="67"/>
      <c r="Z63" s="67"/>
      <c r="AA63" s="67"/>
      <c r="AB63" s="67"/>
      <c r="AC63" s="67"/>
      <c r="AD63" s="67"/>
      <c r="AE63" s="67"/>
      <c r="AF63" s="67"/>
      <c r="AG63" s="67"/>
      <c r="AH63" s="467"/>
    </row>
    <row r="64" spans="1:34" ht="31.5" customHeight="1">
      <c r="A64" s="1402" t="s">
        <v>1079</v>
      </c>
      <c r="B64" s="167">
        <f>B62+1</f>
        <v>41</v>
      </c>
      <c r="C64" s="170" t="s">
        <v>313</v>
      </c>
      <c r="D64" s="828" t="s">
        <v>595</v>
      </c>
      <c r="E64" s="889" t="s">
        <v>967</v>
      </c>
      <c r="F64" s="889" t="s">
        <v>967</v>
      </c>
      <c r="G64" s="889" t="s">
        <v>967</v>
      </c>
      <c r="H64" s="889" t="s">
        <v>967</v>
      </c>
      <c r="I64" s="356"/>
      <c r="J64" s="182"/>
      <c r="K64" s="171"/>
      <c r="L64" s="172"/>
      <c r="M64" s="58"/>
      <c r="N64" s="109" t="str">
        <f>IF(L64,MIN(1,M64/L64),"")</f>
        <v/>
      </c>
      <c r="O64" s="1337"/>
      <c r="P64" s="1305"/>
      <c r="Q64" s="165"/>
      <c r="R64" s="257"/>
      <c r="T64" s="466" t="s">
        <v>741</v>
      </c>
      <c r="U64" s="497"/>
      <c r="W64" s="500"/>
      <c r="X64" s="501"/>
      <c r="Y64" s="501"/>
      <c r="Z64" s="502"/>
      <c r="AA64" s="503"/>
      <c r="AB64" s="501"/>
      <c r="AC64" s="501"/>
      <c r="AD64" s="501"/>
      <c r="AE64" s="504"/>
      <c r="AF64" s="505"/>
      <c r="AG64" s="498"/>
      <c r="AH64" s="499"/>
    </row>
    <row r="65" spans="1:34" ht="37.5" customHeight="1">
      <c r="A65" s="1357"/>
      <c r="B65" s="167">
        <f>B64+1</f>
        <v>42</v>
      </c>
      <c r="C65" s="170" t="s">
        <v>1080</v>
      </c>
      <c r="D65" s="829" t="s">
        <v>595</v>
      </c>
      <c r="E65" s="841" t="s">
        <v>967</v>
      </c>
      <c r="F65" s="841" t="s">
        <v>967</v>
      </c>
      <c r="G65" s="841" t="s">
        <v>967</v>
      </c>
      <c r="H65" s="841" t="s">
        <v>967</v>
      </c>
      <c r="I65" s="774">
        <v>20037</v>
      </c>
      <c r="J65" s="183"/>
      <c r="K65" s="110" t="s">
        <v>747</v>
      </c>
      <c r="L65" s="172">
        <v>81</v>
      </c>
      <c r="M65" s="58"/>
      <c r="N65" s="109">
        <f t="shared" ref="N65:N70" si="32">IF(L65,MIN(1,M65/L65),"")</f>
        <v>0</v>
      </c>
      <c r="O65" s="1337"/>
      <c r="P65" s="1305"/>
      <c r="Q65" s="165"/>
      <c r="R65" s="257"/>
      <c r="T65" s="466" t="s">
        <v>748</v>
      </c>
      <c r="U65" s="497" t="s">
        <v>1081</v>
      </c>
      <c r="W65" s="500" t="s">
        <v>585</v>
      </c>
      <c r="X65" s="501" t="s">
        <v>412</v>
      </c>
      <c r="Y65" s="501" t="s">
        <v>585</v>
      </c>
      <c r="Z65" s="502" t="s">
        <v>585</v>
      </c>
      <c r="AA65" s="503" t="s">
        <v>750</v>
      </c>
      <c r="AB65" s="501" t="s">
        <v>585</v>
      </c>
      <c r="AC65" s="501" t="s">
        <v>585</v>
      </c>
      <c r="AD65" s="501" t="s">
        <v>585</v>
      </c>
      <c r="AE65" s="504" t="s">
        <v>751</v>
      </c>
      <c r="AF65" s="505" t="s">
        <v>585</v>
      </c>
      <c r="AG65" s="498" t="s">
        <v>752</v>
      </c>
      <c r="AH65" s="499" t="s">
        <v>587</v>
      </c>
    </row>
    <row r="66" spans="1:34" ht="31.5" customHeight="1">
      <c r="A66" s="1357"/>
      <c r="B66" s="167">
        <f t="shared" ref="B66:B70" si="33">B65+1</f>
        <v>43</v>
      </c>
      <c r="C66" s="170" t="s">
        <v>315</v>
      </c>
      <c r="D66" s="829" t="s">
        <v>595</v>
      </c>
      <c r="E66" s="841" t="s">
        <v>967</v>
      </c>
      <c r="F66" s="841" t="s">
        <v>967</v>
      </c>
      <c r="G66" s="841" t="s">
        <v>967</v>
      </c>
      <c r="H66" s="841" t="s">
        <v>967</v>
      </c>
      <c r="I66" s="774">
        <v>259231</v>
      </c>
      <c r="J66" s="183"/>
      <c r="K66" s="110" t="s">
        <v>505</v>
      </c>
      <c r="L66" s="172">
        <v>8</v>
      </c>
      <c r="M66" s="58"/>
      <c r="N66" s="109">
        <f t="shared" si="32"/>
        <v>0</v>
      </c>
      <c r="O66" s="1337"/>
      <c r="P66" s="1305"/>
      <c r="Q66" s="165"/>
      <c r="R66" s="257"/>
      <c r="T66" s="466" t="s">
        <v>753</v>
      </c>
      <c r="U66" s="497" t="s">
        <v>1082</v>
      </c>
      <c r="W66" s="500" t="s">
        <v>585</v>
      </c>
      <c r="X66" s="501" t="s">
        <v>585</v>
      </c>
      <c r="Y66" s="501" t="s">
        <v>585</v>
      </c>
      <c r="Z66" s="502" t="s">
        <v>412</v>
      </c>
      <c r="AA66" s="503" t="s">
        <v>755</v>
      </c>
      <c r="AB66" s="501" t="s">
        <v>585</v>
      </c>
      <c r="AC66" s="501" t="s">
        <v>585</v>
      </c>
      <c r="AD66" s="501" t="s">
        <v>998</v>
      </c>
      <c r="AE66" s="504" t="s">
        <v>999</v>
      </c>
      <c r="AF66" s="505" t="s">
        <v>585</v>
      </c>
      <c r="AG66" s="498" t="s">
        <v>1000</v>
      </c>
      <c r="AH66" s="499" t="s">
        <v>587</v>
      </c>
    </row>
    <row r="67" spans="1:34" ht="43.5" customHeight="1">
      <c r="A67" s="1357"/>
      <c r="B67" s="167">
        <f t="shared" si="33"/>
        <v>44</v>
      </c>
      <c r="C67" s="170" t="s">
        <v>316</v>
      </c>
      <c r="D67" s="829" t="s">
        <v>595</v>
      </c>
      <c r="E67" s="889" t="s">
        <v>967</v>
      </c>
      <c r="F67" s="841" t="s">
        <v>967</v>
      </c>
      <c r="G67" s="841" t="s">
        <v>967</v>
      </c>
      <c r="H67" s="889" t="s">
        <v>967</v>
      </c>
      <c r="I67" s="774">
        <v>64771</v>
      </c>
      <c r="J67" s="183"/>
      <c r="K67" s="171" t="s">
        <v>505</v>
      </c>
      <c r="L67" s="172">
        <v>2</v>
      </c>
      <c r="M67" s="58"/>
      <c r="N67" s="109">
        <f t="shared" si="32"/>
        <v>0</v>
      </c>
      <c r="O67" s="1337"/>
      <c r="P67" s="1305"/>
      <c r="Q67" s="165"/>
      <c r="R67" s="257"/>
      <c r="T67" s="466" t="s">
        <v>757</v>
      </c>
      <c r="U67" s="497" t="s">
        <v>1083</v>
      </c>
      <c r="W67" s="500" t="s">
        <v>585</v>
      </c>
      <c r="X67" s="501" t="s">
        <v>585</v>
      </c>
      <c r="Y67" s="501" t="s">
        <v>585</v>
      </c>
      <c r="Z67" s="502" t="s">
        <v>412</v>
      </c>
      <c r="AA67" s="503" t="s">
        <v>759</v>
      </c>
      <c r="AB67" s="501" t="s">
        <v>585</v>
      </c>
      <c r="AC67" s="501" t="s">
        <v>585</v>
      </c>
      <c r="AD67" s="501" t="s">
        <v>585</v>
      </c>
      <c r="AE67" s="504" t="s">
        <v>760</v>
      </c>
      <c r="AF67" s="505" t="s">
        <v>585</v>
      </c>
      <c r="AG67" s="498" t="s">
        <v>649</v>
      </c>
      <c r="AH67" s="499" t="s">
        <v>587</v>
      </c>
    </row>
    <row r="68" spans="1:34" ht="42" customHeight="1">
      <c r="A68" s="1357"/>
      <c r="B68" s="167">
        <f t="shared" si="33"/>
        <v>45</v>
      </c>
      <c r="C68" s="170" t="s">
        <v>317</v>
      </c>
      <c r="D68" s="829" t="s">
        <v>78</v>
      </c>
      <c r="E68" s="841" t="s">
        <v>967</v>
      </c>
      <c r="F68" s="841" t="s">
        <v>967</v>
      </c>
      <c r="G68" s="841" t="s">
        <v>967</v>
      </c>
      <c r="H68" s="841" t="s">
        <v>967</v>
      </c>
      <c r="I68" s="774">
        <v>17524</v>
      </c>
      <c r="J68" s="183"/>
      <c r="K68" s="171" t="s">
        <v>761</v>
      </c>
      <c r="L68" s="172">
        <v>4</v>
      </c>
      <c r="M68" s="58"/>
      <c r="N68" s="109">
        <f t="shared" si="32"/>
        <v>0</v>
      </c>
      <c r="O68" s="1337"/>
      <c r="P68" s="1305"/>
      <c r="Q68" s="165"/>
      <c r="R68" s="257"/>
      <c r="T68" s="466" t="s">
        <v>762</v>
      </c>
      <c r="U68" s="497" t="s">
        <v>1084</v>
      </c>
      <c r="W68" s="500" t="s">
        <v>585</v>
      </c>
      <c r="X68" s="501" t="s">
        <v>585</v>
      </c>
      <c r="Y68" s="501" t="s">
        <v>585</v>
      </c>
      <c r="Z68" s="502" t="s">
        <v>585</v>
      </c>
      <c r="AA68" s="503" t="s">
        <v>1002</v>
      </c>
      <c r="AB68" s="501" t="s">
        <v>585</v>
      </c>
      <c r="AC68" s="501" t="s">
        <v>585</v>
      </c>
      <c r="AD68" s="501" t="s">
        <v>585</v>
      </c>
      <c r="AE68" s="504" t="s">
        <v>585</v>
      </c>
      <c r="AF68" s="505" t="s">
        <v>585</v>
      </c>
      <c r="AG68" s="498" t="s">
        <v>1003</v>
      </c>
      <c r="AH68" s="499" t="s">
        <v>587</v>
      </c>
    </row>
    <row r="69" spans="1:34" ht="31.5" customHeight="1">
      <c r="A69" s="1357"/>
      <c r="B69" s="167">
        <f t="shared" si="33"/>
        <v>46</v>
      </c>
      <c r="C69" s="170" t="s">
        <v>318</v>
      </c>
      <c r="D69" s="829" t="s">
        <v>595</v>
      </c>
      <c r="E69" s="841" t="s">
        <v>967</v>
      </c>
      <c r="F69" s="841" t="s">
        <v>967</v>
      </c>
      <c r="G69" s="841" t="s">
        <v>967</v>
      </c>
      <c r="H69" s="841" t="s">
        <v>967</v>
      </c>
      <c r="I69" s="774">
        <v>7692</v>
      </c>
      <c r="J69" s="183"/>
      <c r="K69" s="110" t="s">
        <v>765</v>
      </c>
      <c r="L69" s="172">
        <v>1</v>
      </c>
      <c r="M69" s="58"/>
      <c r="N69" s="109">
        <f t="shared" si="32"/>
        <v>0</v>
      </c>
      <c r="O69" s="1337"/>
      <c r="P69" s="1305"/>
      <c r="Q69" s="165"/>
      <c r="R69" s="257"/>
      <c r="T69" s="466" t="s">
        <v>766</v>
      </c>
      <c r="U69" s="497" t="s">
        <v>1085</v>
      </c>
      <c r="W69" s="500"/>
      <c r="X69" s="501"/>
      <c r="Y69" s="501"/>
      <c r="Z69" s="502"/>
      <c r="AA69" s="503"/>
      <c r="AB69" s="501"/>
      <c r="AC69" s="501"/>
      <c r="AD69" s="501"/>
      <c r="AE69" s="504"/>
      <c r="AF69" s="505"/>
      <c r="AG69" s="498"/>
      <c r="AH69" s="499"/>
    </row>
    <row r="70" spans="1:34" ht="31.5" customHeight="1">
      <c r="A70" s="1357"/>
      <c r="B70" s="167">
        <f t="shared" si="33"/>
        <v>47</v>
      </c>
      <c r="C70" s="170" t="s">
        <v>319</v>
      </c>
      <c r="D70" s="830" t="s">
        <v>78</v>
      </c>
      <c r="E70" s="889" t="s">
        <v>967</v>
      </c>
      <c r="F70" s="841" t="s">
        <v>967</v>
      </c>
      <c r="G70" s="841" t="s">
        <v>967</v>
      </c>
      <c r="H70" s="889" t="s">
        <v>967</v>
      </c>
      <c r="I70" s="774">
        <v>1988</v>
      </c>
      <c r="J70" s="184"/>
      <c r="K70" s="110" t="s">
        <v>761</v>
      </c>
      <c r="L70" s="172">
        <v>1</v>
      </c>
      <c r="M70" s="58"/>
      <c r="N70" s="109">
        <f t="shared" si="32"/>
        <v>0</v>
      </c>
      <c r="O70" s="1338"/>
      <c r="P70" s="1305"/>
      <c r="Q70" s="165"/>
      <c r="R70" s="257"/>
      <c r="T70" s="466" t="s">
        <v>770</v>
      </c>
      <c r="U70" s="497" t="s">
        <v>1086</v>
      </c>
      <c r="W70" s="500" t="s">
        <v>412</v>
      </c>
      <c r="X70" s="501" t="s">
        <v>412</v>
      </c>
      <c r="Y70" s="501" t="s">
        <v>585</v>
      </c>
      <c r="Z70" s="502" t="s">
        <v>412</v>
      </c>
      <c r="AA70" s="503" t="s">
        <v>772</v>
      </c>
      <c r="AB70" s="501" t="s">
        <v>585</v>
      </c>
      <c r="AC70" s="501" t="s">
        <v>585</v>
      </c>
      <c r="AD70" s="501" t="s">
        <v>585</v>
      </c>
      <c r="AE70" s="504" t="s">
        <v>773</v>
      </c>
      <c r="AF70" s="505" t="s">
        <v>585</v>
      </c>
      <c r="AG70" s="498" t="s">
        <v>774</v>
      </c>
      <c r="AH70" s="499" t="s">
        <v>587</v>
      </c>
    </row>
    <row r="71" spans="1:34">
      <c r="A71" s="1358"/>
      <c r="B71" s="65"/>
      <c r="C71" s="81"/>
      <c r="D71" s="120"/>
      <c r="E71" s="891" t="s">
        <v>967</v>
      </c>
      <c r="F71" s="891" t="s">
        <v>967</v>
      </c>
      <c r="G71" s="891" t="s">
        <v>967</v>
      </c>
      <c r="H71" s="891" t="s">
        <v>967</v>
      </c>
      <c r="I71" s="359">
        <f t="shared" ref="I71" si="34">SUM(I64:I70)</f>
        <v>371243</v>
      </c>
      <c r="J71" s="139"/>
      <c r="K71" s="442"/>
      <c r="L71" s="440">
        <f>SUM(L64:L70)</f>
        <v>97</v>
      </c>
      <c r="M71" s="443">
        <f>SUM(M64:M70)</f>
        <v>0</v>
      </c>
      <c r="N71" s="444">
        <f>IFERROR(AVERAGE(N64:N70),"")</f>
        <v>0</v>
      </c>
      <c r="O71" s="444">
        <f>IFERROR(AVERAGE(N50:N55,N57:N62,N64:N70),"")</f>
        <v>0</v>
      </c>
      <c r="P71" s="1305"/>
      <c r="Q71" s="352">
        <f>SUM(Q64:Q70)</f>
        <v>0</v>
      </c>
      <c r="R71" s="70">
        <f t="shared" ref="R71" si="35">SUM(R64:R70)</f>
        <v>0</v>
      </c>
      <c r="T71" s="68"/>
      <c r="U71" s="469"/>
      <c r="W71" s="478"/>
      <c r="X71" s="67"/>
      <c r="Y71" s="67"/>
      <c r="Z71" s="67"/>
      <c r="AA71" s="67"/>
      <c r="AB71" s="67"/>
      <c r="AC71" s="67"/>
      <c r="AD71" s="67"/>
      <c r="AE71" s="67"/>
      <c r="AF71" s="67"/>
      <c r="AG71" s="67"/>
      <c r="AH71" s="467"/>
    </row>
    <row r="72" spans="1:34" ht="30.75" customHeight="1">
      <c r="A72" s="360" t="s">
        <v>320</v>
      </c>
      <c r="B72" s="361"/>
      <c r="C72" s="361"/>
      <c r="D72" s="822"/>
      <c r="E72" s="842" t="s">
        <v>248</v>
      </c>
      <c r="F72" s="842" t="s">
        <v>249</v>
      </c>
      <c r="G72" s="842" t="s">
        <v>250</v>
      </c>
      <c r="H72" s="842" t="s">
        <v>251</v>
      </c>
      <c r="I72" s="835">
        <f t="shared" ref="I72" si="36">I77+I83+I88</f>
        <v>306162</v>
      </c>
      <c r="J72" s="366"/>
      <c r="K72" s="367"/>
      <c r="L72" s="368"/>
      <c r="M72" s="369"/>
      <c r="N72" s="370"/>
      <c r="O72" s="371"/>
      <c r="P72" s="1305"/>
      <c r="Q72" s="373">
        <f t="shared" ref="Q72:R72" si="37">Q77+Q83+Q88</f>
        <v>0</v>
      </c>
      <c r="R72" s="374">
        <f t="shared" si="37"/>
        <v>0</v>
      </c>
      <c r="T72" s="464" t="s">
        <v>320</v>
      </c>
      <c r="U72" s="465"/>
      <c r="W72" s="464" t="s">
        <v>320</v>
      </c>
      <c r="X72" s="458"/>
      <c r="Y72" s="458"/>
      <c r="Z72" s="458"/>
      <c r="AA72" s="458"/>
      <c r="AB72" s="458"/>
      <c r="AC72" s="458"/>
      <c r="AD72" s="458"/>
      <c r="AE72" s="458"/>
      <c r="AF72" s="458"/>
      <c r="AG72" s="458"/>
      <c r="AH72" s="465"/>
    </row>
    <row r="73" spans="1:34" ht="30.65" customHeight="1">
      <c r="A73" s="1401" t="s">
        <v>1087</v>
      </c>
      <c r="B73" s="167">
        <f>B70+1</f>
        <v>48</v>
      </c>
      <c r="C73" s="170" t="s">
        <v>322</v>
      </c>
      <c r="D73" s="828" t="s">
        <v>78</v>
      </c>
      <c r="E73" s="889" t="s">
        <v>967</v>
      </c>
      <c r="F73" s="889" t="s">
        <v>967</v>
      </c>
      <c r="G73" s="889" t="s">
        <v>967</v>
      </c>
      <c r="H73" s="889" t="s">
        <v>967</v>
      </c>
      <c r="I73" s="356"/>
      <c r="J73" s="182"/>
      <c r="K73" s="171"/>
      <c r="L73" s="1125"/>
      <c r="M73" s="58"/>
      <c r="N73" s="109" t="str">
        <f t="shared" ref="N73:N76" si="38">IF(L73,MIN(1,M73/L73),"")</f>
        <v/>
      </c>
      <c r="O73" s="1339"/>
      <c r="P73" s="1305"/>
      <c r="Q73" s="165"/>
      <c r="R73" s="257"/>
      <c r="T73" s="466" t="s">
        <v>775</v>
      </c>
      <c r="U73" s="497"/>
      <c r="W73" s="500"/>
      <c r="X73" s="501"/>
      <c r="Y73" s="501"/>
      <c r="Z73" s="502"/>
      <c r="AA73" s="503"/>
      <c r="AB73" s="501"/>
      <c r="AC73" s="501"/>
      <c r="AD73" s="501"/>
      <c r="AE73" s="504"/>
      <c r="AF73" s="505"/>
      <c r="AG73" s="498"/>
      <c r="AH73" s="499"/>
    </row>
    <row r="74" spans="1:34" ht="30.65" customHeight="1">
      <c r="A74" s="1303"/>
      <c r="B74" s="167">
        <f>B73+1</f>
        <v>49</v>
      </c>
      <c r="C74" s="170" t="s">
        <v>323</v>
      </c>
      <c r="D74" s="829" t="s">
        <v>588</v>
      </c>
      <c r="E74" s="889" t="s">
        <v>967</v>
      </c>
      <c r="F74" s="889" t="s">
        <v>967</v>
      </c>
      <c r="G74" s="889" t="s">
        <v>967</v>
      </c>
      <c r="H74" s="889" t="s">
        <v>967</v>
      </c>
      <c r="I74" s="356"/>
      <c r="J74" s="183"/>
      <c r="K74" s="171"/>
      <c r="L74" s="1125"/>
      <c r="M74" s="58"/>
      <c r="N74" s="109" t="str">
        <f t="shared" si="38"/>
        <v/>
      </c>
      <c r="O74" s="1305"/>
      <c r="P74" s="1305"/>
      <c r="Q74" s="165"/>
      <c r="R74" s="257"/>
      <c r="T74" s="466" t="s">
        <v>776</v>
      </c>
      <c r="U74" s="497"/>
      <c r="W74" s="500"/>
      <c r="X74" s="501"/>
      <c r="Y74" s="501"/>
      <c r="Z74" s="502"/>
      <c r="AA74" s="503"/>
      <c r="AB74" s="501"/>
      <c r="AC74" s="501"/>
      <c r="AD74" s="501"/>
      <c r="AE74" s="504"/>
      <c r="AF74" s="505"/>
      <c r="AG74" s="498"/>
      <c r="AH74" s="499"/>
    </row>
    <row r="75" spans="1:34" ht="30.65" customHeight="1">
      <c r="A75" s="1348"/>
      <c r="B75" s="167">
        <f t="shared" ref="B75:B76" si="39">B74+1</f>
        <v>50</v>
      </c>
      <c r="C75" s="170" t="s">
        <v>324</v>
      </c>
      <c r="D75" s="829" t="s">
        <v>588</v>
      </c>
      <c r="E75" s="841" t="s">
        <v>967</v>
      </c>
      <c r="F75" s="841" t="s">
        <v>967</v>
      </c>
      <c r="G75" s="841" t="s">
        <v>967</v>
      </c>
      <c r="H75" s="841" t="s">
        <v>967</v>
      </c>
      <c r="I75" s="774">
        <v>7692</v>
      </c>
      <c r="J75" s="183"/>
      <c r="K75" s="171" t="s">
        <v>780</v>
      </c>
      <c r="L75" s="1125">
        <v>2</v>
      </c>
      <c r="M75" s="58"/>
      <c r="N75" s="109">
        <f t="shared" si="38"/>
        <v>0</v>
      </c>
      <c r="O75" s="1305"/>
      <c r="P75" s="1305"/>
      <c r="Q75" s="165"/>
      <c r="R75" s="257"/>
      <c r="T75" s="466" t="s">
        <v>781</v>
      </c>
      <c r="U75" s="497" t="s">
        <v>1088</v>
      </c>
      <c r="W75" s="500" t="s">
        <v>412</v>
      </c>
      <c r="X75" s="501" t="s">
        <v>412</v>
      </c>
      <c r="Y75" s="501" t="s">
        <v>412</v>
      </c>
      <c r="Z75" s="502" t="s">
        <v>412</v>
      </c>
      <c r="AA75" s="503" t="s">
        <v>412</v>
      </c>
      <c r="AB75" s="501" t="s">
        <v>412</v>
      </c>
      <c r="AC75" s="501" t="s">
        <v>893</v>
      </c>
      <c r="AD75" s="501" t="s">
        <v>412</v>
      </c>
      <c r="AE75" s="504" t="s">
        <v>412</v>
      </c>
      <c r="AF75" s="505" t="s">
        <v>585</v>
      </c>
      <c r="AG75" s="498"/>
      <c r="AH75" s="499" t="s">
        <v>587</v>
      </c>
    </row>
    <row r="76" spans="1:34" ht="30.65" customHeight="1">
      <c r="A76" s="1348"/>
      <c r="B76" s="167">
        <f t="shared" si="39"/>
        <v>51</v>
      </c>
      <c r="C76" s="170" t="s">
        <v>325</v>
      </c>
      <c r="D76" s="830" t="s">
        <v>588</v>
      </c>
      <c r="E76" s="889" t="s">
        <v>967</v>
      </c>
      <c r="F76" s="889" t="s">
        <v>967</v>
      </c>
      <c r="G76" s="889" t="s">
        <v>967</v>
      </c>
      <c r="H76" s="889" t="s">
        <v>967</v>
      </c>
      <c r="I76" s="356"/>
      <c r="J76" s="184"/>
      <c r="K76" s="171"/>
      <c r="L76" s="1125"/>
      <c r="M76" s="58"/>
      <c r="N76" s="109" t="str">
        <f t="shared" si="38"/>
        <v/>
      </c>
      <c r="O76" s="1305"/>
      <c r="P76" s="1305"/>
      <c r="Q76" s="165"/>
      <c r="R76" s="257"/>
      <c r="T76" s="466" t="s">
        <v>784</v>
      </c>
      <c r="U76" s="497"/>
      <c r="W76" s="500"/>
      <c r="X76" s="501"/>
      <c r="Y76" s="501"/>
      <c r="Z76" s="502"/>
      <c r="AA76" s="503"/>
      <c r="AB76" s="501"/>
      <c r="AC76" s="501"/>
      <c r="AD76" s="501"/>
      <c r="AE76" s="504"/>
      <c r="AF76" s="505"/>
      <c r="AG76" s="498"/>
      <c r="AH76" s="499"/>
    </row>
    <row r="77" spans="1:34">
      <c r="A77" s="1348"/>
      <c r="B77" s="65"/>
      <c r="C77" s="81"/>
      <c r="D77" s="120"/>
      <c r="E77" s="891" t="s">
        <v>967</v>
      </c>
      <c r="F77" s="891" t="s">
        <v>967</v>
      </c>
      <c r="G77" s="891" t="s">
        <v>967</v>
      </c>
      <c r="H77" s="891" t="s">
        <v>967</v>
      </c>
      <c r="I77" s="359">
        <f t="shared" ref="I77" si="40">SUM(I73:I76)</f>
        <v>7692</v>
      </c>
      <c r="J77" s="139"/>
      <c r="K77" s="111"/>
      <c r="L77" s="173">
        <f>SUM(L73:L76)</f>
        <v>2</v>
      </c>
      <c r="M77" s="68">
        <f>SUM(M73:M76)</f>
        <v>0</v>
      </c>
      <c r="N77" s="69">
        <f>IFERROR(AVERAGE(N73:N76),"")</f>
        <v>0</v>
      </c>
      <c r="O77" s="1305"/>
      <c r="P77" s="1305"/>
      <c r="Q77" s="352">
        <f>SUM(Q73:Q76)</f>
        <v>0</v>
      </c>
      <c r="R77" s="70">
        <f>SUM(R73:R76)</f>
        <v>0</v>
      </c>
      <c r="T77" s="68"/>
      <c r="U77" s="469"/>
      <c r="W77" s="478"/>
      <c r="X77" s="67"/>
      <c r="Y77" s="67"/>
      <c r="Z77" s="67"/>
      <c r="AA77" s="67"/>
      <c r="AB77" s="67"/>
      <c r="AC77" s="67"/>
      <c r="AD77" s="67"/>
      <c r="AE77" s="67"/>
      <c r="AF77" s="67"/>
      <c r="AG77" s="67"/>
      <c r="AH77" s="467"/>
    </row>
    <row r="78" spans="1:34" ht="30.65" customHeight="1">
      <c r="A78" s="1403" t="s">
        <v>1089</v>
      </c>
      <c r="B78" s="167">
        <f>B76+1</f>
        <v>52</v>
      </c>
      <c r="C78" s="170" t="s">
        <v>327</v>
      </c>
      <c r="D78" s="828" t="s">
        <v>582</v>
      </c>
      <c r="E78" s="889" t="s">
        <v>967</v>
      </c>
      <c r="F78" s="844" t="s">
        <v>967</v>
      </c>
      <c r="G78" s="844" t="s">
        <v>967</v>
      </c>
      <c r="H78" s="844" t="s">
        <v>967</v>
      </c>
      <c r="I78" s="356"/>
      <c r="J78" s="182"/>
      <c r="K78" s="171"/>
      <c r="L78" s="1125"/>
      <c r="M78" s="58"/>
      <c r="N78" s="109" t="str">
        <f t="shared" ref="N78:N82" si="41">IF(L78,MIN(1,M78/L78),"")</f>
        <v/>
      </c>
      <c r="O78" s="1305"/>
      <c r="P78" s="1305"/>
      <c r="Q78" s="165"/>
      <c r="R78" s="257"/>
      <c r="T78" s="466" t="s">
        <v>789</v>
      </c>
      <c r="U78" s="497"/>
      <c r="W78" s="500"/>
      <c r="X78" s="501"/>
      <c r="Y78" s="501"/>
      <c r="Z78" s="502"/>
      <c r="AA78" s="503"/>
      <c r="AB78" s="501"/>
      <c r="AC78" s="501"/>
      <c r="AD78" s="501"/>
      <c r="AE78" s="504"/>
      <c r="AF78" s="505"/>
      <c r="AG78" s="498"/>
      <c r="AH78" s="499"/>
    </row>
    <row r="79" spans="1:34" ht="30.65" customHeight="1">
      <c r="A79" s="1359"/>
      <c r="B79" s="167">
        <f>B78+1</f>
        <v>53</v>
      </c>
      <c r="C79" s="170" t="s">
        <v>328</v>
      </c>
      <c r="D79" s="829" t="s">
        <v>582</v>
      </c>
      <c r="E79" s="841" t="s">
        <v>967</v>
      </c>
      <c r="F79" s="841" t="s">
        <v>967</v>
      </c>
      <c r="G79" s="889" t="s">
        <v>967</v>
      </c>
      <c r="H79" s="889" t="s">
        <v>967</v>
      </c>
      <c r="I79" s="774">
        <v>5047</v>
      </c>
      <c r="J79" s="183"/>
      <c r="K79" s="171" t="s">
        <v>794</v>
      </c>
      <c r="L79" s="1125">
        <v>1</v>
      </c>
      <c r="M79" s="58"/>
      <c r="N79" s="109">
        <f t="shared" si="41"/>
        <v>0</v>
      </c>
      <c r="O79" s="1305"/>
      <c r="P79" s="1305"/>
      <c r="Q79" s="165"/>
      <c r="R79" s="257"/>
      <c r="T79" s="466" t="s">
        <v>795</v>
      </c>
      <c r="U79" s="497" t="s">
        <v>1090</v>
      </c>
      <c r="W79" s="500" t="s">
        <v>412</v>
      </c>
      <c r="X79" s="501" t="s">
        <v>412</v>
      </c>
      <c r="Y79" s="501" t="s">
        <v>412</v>
      </c>
      <c r="Z79" s="502" t="s">
        <v>412</v>
      </c>
      <c r="AA79" s="503" t="s">
        <v>412</v>
      </c>
      <c r="AB79" s="501" t="s">
        <v>412</v>
      </c>
      <c r="AC79" s="501" t="s">
        <v>412</v>
      </c>
      <c r="AD79" s="501" t="s">
        <v>412</v>
      </c>
      <c r="AE79" s="504" t="s">
        <v>412</v>
      </c>
      <c r="AF79" s="505" t="s">
        <v>585</v>
      </c>
      <c r="AG79" s="498" t="s">
        <v>1005</v>
      </c>
      <c r="AH79" s="499" t="s">
        <v>587</v>
      </c>
    </row>
    <row r="80" spans="1:34" ht="30.65" customHeight="1">
      <c r="A80" s="1359"/>
      <c r="B80" s="167">
        <f t="shared" ref="B80:B82" si="42">B79+1</f>
        <v>54</v>
      </c>
      <c r="C80" s="170" t="s">
        <v>329</v>
      </c>
      <c r="D80" s="829" t="s">
        <v>582</v>
      </c>
      <c r="E80" s="841" t="s">
        <v>967</v>
      </c>
      <c r="F80" s="841" t="s">
        <v>967</v>
      </c>
      <c r="G80" s="841" t="s">
        <v>967</v>
      </c>
      <c r="H80" s="889" t="s">
        <v>967</v>
      </c>
      <c r="I80" s="774">
        <v>3846</v>
      </c>
      <c r="J80" s="183"/>
      <c r="K80" s="171" t="s">
        <v>719</v>
      </c>
      <c r="L80" s="1125">
        <v>2</v>
      </c>
      <c r="M80" s="58"/>
      <c r="N80" s="109">
        <f t="shared" si="41"/>
        <v>0</v>
      </c>
      <c r="O80" s="1305"/>
      <c r="P80" s="1305"/>
      <c r="Q80" s="165"/>
      <c r="R80" s="257"/>
      <c r="T80" s="466" t="s">
        <v>798</v>
      </c>
      <c r="U80" s="497" t="s">
        <v>1091</v>
      </c>
      <c r="W80" s="500" t="s">
        <v>412</v>
      </c>
      <c r="X80" s="501" t="s">
        <v>412</v>
      </c>
      <c r="Y80" s="501" t="s">
        <v>412</v>
      </c>
      <c r="Z80" s="502" t="s">
        <v>412</v>
      </c>
      <c r="AA80" s="503" t="s">
        <v>412</v>
      </c>
      <c r="AB80" s="501" t="s">
        <v>412</v>
      </c>
      <c r="AC80" s="501" t="s">
        <v>412</v>
      </c>
      <c r="AD80" s="501" t="s">
        <v>412</v>
      </c>
      <c r="AE80" s="504" t="s">
        <v>412</v>
      </c>
      <c r="AF80" s="505" t="s">
        <v>585</v>
      </c>
      <c r="AG80" s="498" t="s">
        <v>800</v>
      </c>
      <c r="AH80" s="499" t="s">
        <v>587</v>
      </c>
    </row>
    <row r="81" spans="1:34" ht="30.65" customHeight="1">
      <c r="A81" s="1348"/>
      <c r="B81" s="167">
        <f t="shared" si="42"/>
        <v>55</v>
      </c>
      <c r="C81" s="170" t="s">
        <v>330</v>
      </c>
      <c r="D81" s="829" t="s">
        <v>588</v>
      </c>
      <c r="E81" s="889" t="s">
        <v>967</v>
      </c>
      <c r="F81" s="844" t="s">
        <v>967</v>
      </c>
      <c r="G81" s="844" t="s">
        <v>967</v>
      </c>
      <c r="H81" s="844" t="s">
        <v>967</v>
      </c>
      <c r="I81" s="356"/>
      <c r="J81" s="183"/>
      <c r="K81" s="171"/>
      <c r="L81" s="1125"/>
      <c r="M81" s="58"/>
      <c r="N81" s="109" t="str">
        <f t="shared" si="41"/>
        <v/>
      </c>
      <c r="O81" s="1305"/>
      <c r="P81" s="1305"/>
      <c r="Q81" s="165"/>
      <c r="R81" s="257"/>
      <c r="T81" s="466" t="s">
        <v>802</v>
      </c>
      <c r="U81" s="497"/>
      <c r="W81" s="500"/>
      <c r="X81" s="501"/>
      <c r="Y81" s="501"/>
      <c r="Z81" s="502"/>
      <c r="AA81" s="503"/>
      <c r="AB81" s="501"/>
      <c r="AC81" s="501"/>
      <c r="AD81" s="501"/>
      <c r="AE81" s="504"/>
      <c r="AF81" s="505"/>
      <c r="AG81" s="498"/>
      <c r="AH81" s="499"/>
    </row>
    <row r="82" spans="1:34" ht="30.65" customHeight="1">
      <c r="A82" s="1348"/>
      <c r="B82" s="167">
        <f t="shared" si="42"/>
        <v>56</v>
      </c>
      <c r="C82" s="170" t="s">
        <v>331</v>
      </c>
      <c r="D82" s="830" t="s">
        <v>588</v>
      </c>
      <c r="E82" s="841" t="s">
        <v>967</v>
      </c>
      <c r="F82" s="841" t="s">
        <v>967</v>
      </c>
      <c r="G82" s="841" t="s">
        <v>967</v>
      </c>
      <c r="H82" s="841" t="s">
        <v>967</v>
      </c>
      <c r="I82" s="774">
        <v>1172</v>
      </c>
      <c r="J82" s="184"/>
      <c r="K82" s="1126" t="s">
        <v>719</v>
      </c>
      <c r="L82" s="1125">
        <v>1</v>
      </c>
      <c r="M82" s="58"/>
      <c r="N82" s="109">
        <f t="shared" si="41"/>
        <v>0</v>
      </c>
      <c r="O82" s="1305"/>
      <c r="P82" s="1305"/>
      <c r="Q82" s="165"/>
      <c r="R82" s="257"/>
      <c r="T82" s="466" t="s">
        <v>808</v>
      </c>
      <c r="U82" s="497" t="s">
        <v>809</v>
      </c>
      <c r="W82" s="500" t="s">
        <v>412</v>
      </c>
      <c r="X82" s="501" t="s">
        <v>412</v>
      </c>
      <c r="Y82" s="501" t="s">
        <v>412</v>
      </c>
      <c r="Z82" s="502" t="s">
        <v>412</v>
      </c>
      <c r="AA82" s="503" t="s">
        <v>412</v>
      </c>
      <c r="AB82" s="501" t="s">
        <v>412</v>
      </c>
      <c r="AC82" s="501" t="s">
        <v>412</v>
      </c>
      <c r="AD82" s="501" t="s">
        <v>412</v>
      </c>
      <c r="AE82" s="504" t="s">
        <v>412</v>
      </c>
      <c r="AF82" s="505" t="s">
        <v>585</v>
      </c>
      <c r="AG82" s="498" t="s">
        <v>810</v>
      </c>
      <c r="AH82" s="499" t="s">
        <v>587</v>
      </c>
    </row>
    <row r="83" spans="1:34">
      <c r="A83" s="1348"/>
      <c r="B83" s="65"/>
      <c r="C83" s="81"/>
      <c r="D83" s="120"/>
      <c r="E83" s="891" t="s">
        <v>967</v>
      </c>
      <c r="F83" s="891" t="s">
        <v>967</v>
      </c>
      <c r="G83" s="891" t="s">
        <v>967</v>
      </c>
      <c r="H83" s="891" t="s">
        <v>967</v>
      </c>
      <c r="I83" s="359">
        <f t="shared" ref="I83" si="43">SUM(I78:I82)</f>
        <v>10065</v>
      </c>
      <c r="J83" s="139"/>
      <c r="K83" s="111"/>
      <c r="L83" s="173">
        <f>SUM(L78:L82)</f>
        <v>4</v>
      </c>
      <c r="M83" s="68">
        <f>SUM(M78:M82)</f>
        <v>0</v>
      </c>
      <c r="N83" s="69">
        <f>IFERROR(AVERAGE(N78:N82),"")</f>
        <v>0</v>
      </c>
      <c r="O83" s="1305"/>
      <c r="P83" s="1305"/>
      <c r="Q83" s="352">
        <f>SUM(Q78:Q82)</f>
        <v>0</v>
      </c>
      <c r="R83" s="70">
        <f>SUM(R78:R82)</f>
        <v>0</v>
      </c>
      <c r="T83" s="68"/>
      <c r="U83" s="469"/>
      <c r="W83" s="478"/>
      <c r="X83" s="67"/>
      <c r="Y83" s="67"/>
      <c r="Z83" s="67"/>
      <c r="AA83" s="67"/>
      <c r="AB83" s="67"/>
      <c r="AC83" s="67"/>
      <c r="AD83" s="67"/>
      <c r="AE83" s="67"/>
      <c r="AF83" s="67"/>
      <c r="AG83" s="67"/>
      <c r="AH83" s="467"/>
    </row>
    <row r="84" spans="1:34" ht="30.65" customHeight="1">
      <c r="A84" s="1401" t="s">
        <v>1092</v>
      </c>
      <c r="B84" s="167">
        <f>B82+1</f>
        <v>57</v>
      </c>
      <c r="C84" s="170" t="s">
        <v>333</v>
      </c>
      <c r="D84" s="828" t="s">
        <v>588</v>
      </c>
      <c r="E84" s="841" t="s">
        <v>967</v>
      </c>
      <c r="F84" s="841" t="s">
        <v>967</v>
      </c>
      <c r="G84" s="841" t="s">
        <v>967</v>
      </c>
      <c r="H84" s="889" t="s">
        <v>967</v>
      </c>
      <c r="I84" s="774">
        <v>7877</v>
      </c>
      <c r="J84" s="182"/>
      <c r="K84" s="171" t="s">
        <v>811</v>
      </c>
      <c r="L84" s="1125">
        <v>1</v>
      </c>
      <c r="M84" s="58"/>
      <c r="N84" s="109">
        <f t="shared" ref="N84:N87" si="44">IF(L84,MIN(1,M84/L84),"")</f>
        <v>0</v>
      </c>
      <c r="O84" s="1305"/>
      <c r="P84" s="1305"/>
      <c r="Q84" s="165"/>
      <c r="R84" s="257"/>
      <c r="T84" s="466" t="s">
        <v>812</v>
      </c>
      <c r="U84" s="497" t="s">
        <v>1093</v>
      </c>
      <c r="W84" s="500" t="s">
        <v>412</v>
      </c>
      <c r="X84" s="501" t="s">
        <v>412</v>
      </c>
      <c r="Y84" s="501" t="s">
        <v>412</v>
      </c>
      <c r="Z84" s="502" t="s">
        <v>412</v>
      </c>
      <c r="AA84" s="503" t="s">
        <v>412</v>
      </c>
      <c r="AB84" s="501" t="s">
        <v>412</v>
      </c>
      <c r="AC84" s="501" t="s">
        <v>814</v>
      </c>
      <c r="AD84" s="501" t="s">
        <v>412</v>
      </c>
      <c r="AE84" s="504" t="s">
        <v>792</v>
      </c>
      <c r="AF84" s="505" t="s">
        <v>585</v>
      </c>
      <c r="AG84" s="498" t="s">
        <v>815</v>
      </c>
      <c r="AH84" s="499" t="s">
        <v>587</v>
      </c>
    </row>
    <row r="85" spans="1:34" ht="30.65" customHeight="1">
      <c r="A85" s="1303"/>
      <c r="B85" s="167">
        <f>B84+1</f>
        <v>58</v>
      </c>
      <c r="C85" s="170" t="s">
        <v>334</v>
      </c>
      <c r="D85" s="829" t="s">
        <v>595</v>
      </c>
      <c r="E85" s="841" t="s">
        <v>967</v>
      </c>
      <c r="F85" s="841" t="s">
        <v>967</v>
      </c>
      <c r="G85" s="841" t="s">
        <v>967</v>
      </c>
      <c r="H85" s="841" t="s">
        <v>967</v>
      </c>
      <c r="I85" s="774">
        <f>244682+32000</f>
        <v>276682</v>
      </c>
      <c r="J85" s="183"/>
      <c r="K85" s="171" t="s">
        <v>689</v>
      </c>
      <c r="L85" s="1125">
        <v>10</v>
      </c>
      <c r="M85" s="58"/>
      <c r="N85" s="109">
        <f t="shared" si="44"/>
        <v>0</v>
      </c>
      <c r="O85" s="1305"/>
      <c r="P85" s="1305"/>
      <c r="Q85" s="165"/>
      <c r="R85" s="257"/>
      <c r="T85" s="466" t="s">
        <v>816</v>
      </c>
      <c r="U85" s="497" t="s">
        <v>1094</v>
      </c>
      <c r="W85" s="500" t="s">
        <v>585</v>
      </c>
      <c r="X85" s="501" t="s">
        <v>585</v>
      </c>
      <c r="Y85" s="501" t="s">
        <v>585</v>
      </c>
      <c r="Z85" s="502" t="s">
        <v>585</v>
      </c>
      <c r="AA85" s="503" t="s">
        <v>818</v>
      </c>
      <c r="AB85" s="501" t="s">
        <v>585</v>
      </c>
      <c r="AC85" s="501" t="s">
        <v>585</v>
      </c>
      <c r="AD85" s="501" t="s">
        <v>585</v>
      </c>
      <c r="AE85" s="504" t="s">
        <v>819</v>
      </c>
      <c r="AF85" s="505" t="s">
        <v>585</v>
      </c>
      <c r="AG85" s="498" t="s">
        <v>820</v>
      </c>
      <c r="AH85" s="499" t="s">
        <v>587</v>
      </c>
    </row>
    <row r="86" spans="1:34" ht="30.65" customHeight="1">
      <c r="A86" s="1348"/>
      <c r="B86" s="167">
        <f t="shared" ref="B86:B87" si="45">B85+1</f>
        <v>59</v>
      </c>
      <c r="C86" s="170" t="s">
        <v>335</v>
      </c>
      <c r="D86" s="829" t="s">
        <v>595</v>
      </c>
      <c r="E86" s="889" t="s">
        <v>967</v>
      </c>
      <c r="F86" s="844" t="s">
        <v>967</v>
      </c>
      <c r="G86" s="844" t="s">
        <v>967</v>
      </c>
      <c r="H86" s="844" t="s">
        <v>967</v>
      </c>
      <c r="I86" s="356"/>
      <c r="J86" s="183"/>
      <c r="K86" s="171"/>
      <c r="L86" s="1125"/>
      <c r="M86" s="58"/>
      <c r="N86" s="109" t="str">
        <f t="shared" si="44"/>
        <v/>
      </c>
      <c r="O86" s="1305"/>
      <c r="P86" s="1305"/>
      <c r="Q86" s="165"/>
      <c r="R86" s="257"/>
      <c r="T86" s="466" t="s">
        <v>821</v>
      </c>
      <c r="U86" s="497"/>
      <c r="W86" s="500"/>
      <c r="X86" s="501"/>
      <c r="Y86" s="501"/>
      <c r="Z86" s="502"/>
      <c r="AA86" s="503"/>
      <c r="AB86" s="501"/>
      <c r="AC86" s="501"/>
      <c r="AD86" s="501"/>
      <c r="AE86" s="504"/>
      <c r="AF86" s="505"/>
      <c r="AG86" s="498"/>
      <c r="AH86" s="499"/>
    </row>
    <row r="87" spans="1:34" ht="30.65" customHeight="1">
      <c r="A87" s="1348"/>
      <c r="B87" s="167">
        <f t="shared" si="45"/>
        <v>60</v>
      </c>
      <c r="C87" s="170" t="s">
        <v>336</v>
      </c>
      <c r="D87" s="830" t="s">
        <v>588</v>
      </c>
      <c r="E87" s="841" t="s">
        <v>967</v>
      </c>
      <c r="F87" s="841" t="s">
        <v>967</v>
      </c>
      <c r="G87" s="841" t="s">
        <v>967</v>
      </c>
      <c r="H87" s="841" t="s">
        <v>967</v>
      </c>
      <c r="I87" s="774">
        <v>3846</v>
      </c>
      <c r="J87" s="184"/>
      <c r="K87" s="171" t="s">
        <v>824</v>
      </c>
      <c r="L87" s="1125">
        <v>2</v>
      </c>
      <c r="M87" s="58"/>
      <c r="N87" s="109">
        <f t="shared" si="44"/>
        <v>0</v>
      </c>
      <c r="O87" s="1305"/>
      <c r="P87" s="1305"/>
      <c r="Q87" s="165"/>
      <c r="R87" s="257"/>
      <c r="T87" s="466" t="s">
        <v>825</v>
      </c>
      <c r="U87" s="497" t="s">
        <v>1095</v>
      </c>
      <c r="W87" s="500" t="s">
        <v>412</v>
      </c>
      <c r="X87" s="501" t="s">
        <v>412</v>
      </c>
      <c r="Y87" s="501" t="s">
        <v>412</v>
      </c>
      <c r="Z87" s="502" t="s">
        <v>412</v>
      </c>
      <c r="AA87" s="503" t="s">
        <v>412</v>
      </c>
      <c r="AB87" s="501" t="s">
        <v>585</v>
      </c>
      <c r="AC87" s="501" t="s">
        <v>585</v>
      </c>
      <c r="AD87" s="501" t="s">
        <v>412</v>
      </c>
      <c r="AE87" s="504" t="s">
        <v>819</v>
      </c>
      <c r="AF87" s="505" t="s">
        <v>585</v>
      </c>
      <c r="AG87" s="498" t="s">
        <v>823</v>
      </c>
      <c r="AH87" s="499" t="s">
        <v>587</v>
      </c>
    </row>
    <row r="88" spans="1:34">
      <c r="A88" s="1348"/>
      <c r="B88" s="65"/>
      <c r="C88" s="81"/>
      <c r="D88" s="120"/>
      <c r="E88" s="891" t="s">
        <v>967</v>
      </c>
      <c r="F88" s="891" t="s">
        <v>967</v>
      </c>
      <c r="G88" s="891" t="s">
        <v>967</v>
      </c>
      <c r="H88" s="891" t="s">
        <v>967</v>
      </c>
      <c r="I88" s="359">
        <f t="shared" ref="I88" si="46">SUM(I84:I87)</f>
        <v>288405</v>
      </c>
      <c r="J88" s="139"/>
      <c r="K88" s="111"/>
      <c r="L88" s="440">
        <f>SUM(L84:L87)</f>
        <v>13</v>
      </c>
      <c r="M88" s="443">
        <f>SUM(M84:M87)</f>
        <v>0</v>
      </c>
      <c r="N88" s="444">
        <f>IFERROR(AVERAGE(N84:N87),"")</f>
        <v>0</v>
      </c>
      <c r="O88" s="444" t="str" cm="1">
        <f t="array" aca="1" ref="O88" ca="1">IFERROR(AVRAGE(N73:N76,N78:N82,N84:N87),"")</f>
        <v/>
      </c>
      <c r="P88" s="1305"/>
      <c r="Q88" s="352">
        <f>SUM(Q84:Q87)</f>
        <v>0</v>
      </c>
      <c r="R88" s="70">
        <f>SUM(R84:R87)</f>
        <v>0</v>
      </c>
      <c r="T88" s="68"/>
      <c r="U88" s="469"/>
      <c r="W88" s="478"/>
      <c r="X88" s="67"/>
      <c r="Y88" s="67"/>
      <c r="Z88" s="67"/>
      <c r="AA88" s="67"/>
      <c r="AB88" s="67"/>
      <c r="AC88" s="67"/>
      <c r="AD88" s="67"/>
      <c r="AE88" s="67"/>
      <c r="AF88" s="67"/>
      <c r="AG88" s="67"/>
      <c r="AH88" s="467"/>
    </row>
    <row r="89" spans="1:34" ht="30.75" customHeight="1">
      <c r="A89" s="360" t="s">
        <v>337</v>
      </c>
      <c r="B89" s="361"/>
      <c r="C89" s="361"/>
      <c r="D89" s="822"/>
      <c r="E89" s="842" t="s">
        <v>248</v>
      </c>
      <c r="F89" s="842" t="s">
        <v>249</v>
      </c>
      <c r="G89" s="842" t="s">
        <v>250</v>
      </c>
      <c r="H89" s="842" t="s">
        <v>251</v>
      </c>
      <c r="I89" s="835">
        <f t="shared" ref="I89" si="47">I93+I98</f>
        <v>50217</v>
      </c>
      <c r="J89" s="366"/>
      <c r="K89" s="367"/>
      <c r="L89" s="368"/>
      <c r="M89" s="369"/>
      <c r="N89" s="370"/>
      <c r="O89" s="371"/>
      <c r="P89" s="1305"/>
      <c r="Q89" s="373">
        <f t="shared" ref="Q89:R89" si="48">Q93+Q98</f>
        <v>0</v>
      </c>
      <c r="R89" s="374">
        <f t="shared" si="48"/>
        <v>0</v>
      </c>
      <c r="T89" s="464" t="s">
        <v>337</v>
      </c>
      <c r="U89" s="465"/>
      <c r="W89" s="464" t="s">
        <v>337</v>
      </c>
      <c r="X89" s="458"/>
      <c r="Y89" s="458"/>
      <c r="Z89" s="458"/>
      <c r="AA89" s="458"/>
      <c r="AB89" s="458"/>
      <c r="AC89" s="458"/>
      <c r="AD89" s="458"/>
      <c r="AE89" s="458"/>
      <c r="AF89" s="458"/>
      <c r="AG89" s="458"/>
      <c r="AH89" s="465"/>
    </row>
    <row r="90" spans="1:34" ht="30.65" customHeight="1">
      <c r="A90" s="1401" t="s">
        <v>1096</v>
      </c>
      <c r="B90" s="167">
        <f>B87+1</f>
        <v>61</v>
      </c>
      <c r="C90" s="170" t="s">
        <v>339</v>
      </c>
      <c r="D90" s="828" t="s">
        <v>595</v>
      </c>
      <c r="E90" s="889" t="s">
        <v>967</v>
      </c>
      <c r="F90" s="841" t="s">
        <v>967</v>
      </c>
      <c r="G90" s="841" t="s">
        <v>967</v>
      </c>
      <c r="H90" s="841" t="s">
        <v>967</v>
      </c>
      <c r="I90" s="774">
        <v>20000</v>
      </c>
      <c r="J90" s="182"/>
      <c r="K90" s="171" t="s">
        <v>827</v>
      </c>
      <c r="L90" s="1125">
        <v>70</v>
      </c>
      <c r="M90" s="58"/>
      <c r="N90" s="109">
        <f t="shared" ref="N90:N92" si="49">IF(L90,MIN(1,M90/L90),"")</f>
        <v>0</v>
      </c>
      <c r="O90" s="1340"/>
      <c r="P90" s="1305"/>
      <c r="Q90" s="165"/>
      <c r="R90" s="257"/>
      <c r="T90" s="466" t="s">
        <v>828</v>
      </c>
      <c r="U90" s="497" t="s">
        <v>1097</v>
      </c>
      <c r="W90" s="500" t="s">
        <v>412</v>
      </c>
      <c r="X90" s="501" t="s">
        <v>412</v>
      </c>
      <c r="Y90" s="501" t="s">
        <v>412</v>
      </c>
      <c r="Z90" s="502" t="s">
        <v>412</v>
      </c>
      <c r="AA90" s="503" t="s">
        <v>412</v>
      </c>
      <c r="AB90" s="501" t="s">
        <v>412</v>
      </c>
      <c r="AC90" s="501" t="s">
        <v>412</v>
      </c>
      <c r="AD90" s="501" t="s">
        <v>412</v>
      </c>
      <c r="AE90" s="504" t="s">
        <v>412</v>
      </c>
      <c r="AF90" s="505" t="s">
        <v>585</v>
      </c>
      <c r="AG90" s="498" t="s">
        <v>830</v>
      </c>
      <c r="AH90" s="499" t="s">
        <v>587</v>
      </c>
    </row>
    <row r="91" spans="1:34" ht="30.65" customHeight="1">
      <c r="A91" s="1303"/>
      <c r="B91" s="167">
        <f>B90+1</f>
        <v>62</v>
      </c>
      <c r="C91" s="170" t="s">
        <v>340</v>
      </c>
      <c r="D91" s="829" t="s">
        <v>78</v>
      </c>
      <c r="E91" s="889" t="s">
        <v>967</v>
      </c>
      <c r="F91" s="844" t="s">
        <v>967</v>
      </c>
      <c r="G91" s="844" t="s">
        <v>967</v>
      </c>
      <c r="H91" s="844" t="s">
        <v>967</v>
      </c>
      <c r="I91" s="356"/>
      <c r="J91" s="183"/>
      <c r="K91" s="171"/>
      <c r="L91" s="1125"/>
      <c r="M91" s="58"/>
      <c r="N91" s="109" t="str">
        <f t="shared" si="49"/>
        <v/>
      </c>
      <c r="O91" s="1341"/>
      <c r="P91" s="1305"/>
      <c r="Q91" s="165"/>
      <c r="R91" s="257"/>
      <c r="T91" s="466" t="s">
        <v>831</v>
      </c>
      <c r="U91" s="497"/>
      <c r="W91" s="500"/>
      <c r="X91" s="501"/>
      <c r="Y91" s="501"/>
      <c r="Z91" s="502"/>
      <c r="AA91" s="503"/>
      <c r="AB91" s="501"/>
      <c r="AC91" s="501"/>
      <c r="AD91" s="501"/>
      <c r="AE91" s="504"/>
      <c r="AF91" s="505"/>
      <c r="AG91" s="498"/>
      <c r="AH91" s="499"/>
    </row>
    <row r="92" spans="1:34" ht="30.65" customHeight="1">
      <c r="A92" s="1348"/>
      <c r="B92" s="167">
        <f>B91+1</f>
        <v>63</v>
      </c>
      <c r="C92" s="170" t="s">
        <v>341</v>
      </c>
      <c r="D92" s="831" t="s">
        <v>595</v>
      </c>
      <c r="E92" s="889" t="s">
        <v>967</v>
      </c>
      <c r="F92" s="889" t="s">
        <v>967</v>
      </c>
      <c r="G92" s="889" t="s">
        <v>967</v>
      </c>
      <c r="H92" s="889" t="s">
        <v>967</v>
      </c>
      <c r="I92" s="356"/>
      <c r="J92" s="183"/>
      <c r="K92" s="171"/>
      <c r="L92" s="1125"/>
      <c r="M92" s="58"/>
      <c r="N92" s="109" t="str">
        <f t="shared" si="49"/>
        <v/>
      </c>
      <c r="O92" s="1341"/>
      <c r="P92" s="1305"/>
      <c r="Q92" s="165"/>
      <c r="R92" s="257"/>
      <c r="T92" s="466" t="s">
        <v>833</v>
      </c>
      <c r="U92" s="497"/>
      <c r="W92" s="500"/>
      <c r="X92" s="501"/>
      <c r="Y92" s="501"/>
      <c r="Z92" s="502"/>
      <c r="AA92" s="503"/>
      <c r="AB92" s="501"/>
      <c r="AC92" s="501"/>
      <c r="AD92" s="501"/>
      <c r="AE92" s="504"/>
      <c r="AF92" s="505"/>
      <c r="AG92" s="498"/>
      <c r="AH92" s="499"/>
    </row>
    <row r="93" spans="1:34">
      <c r="A93" s="1348"/>
      <c r="B93" s="65"/>
      <c r="C93" s="81"/>
      <c r="D93" s="120"/>
      <c r="E93" s="891" t="s">
        <v>967</v>
      </c>
      <c r="F93" s="891" t="s">
        <v>967</v>
      </c>
      <c r="G93" s="891" t="s">
        <v>967</v>
      </c>
      <c r="H93" s="891" t="s">
        <v>967</v>
      </c>
      <c r="I93" s="359">
        <f>SUM(I90:I92)</f>
        <v>20000</v>
      </c>
      <c r="J93" s="139"/>
      <c r="K93" s="111"/>
      <c r="L93" s="440">
        <f>SUM(L90:L92)</f>
        <v>70</v>
      </c>
      <c r="M93" s="443">
        <f>SUM(M90:M92)</f>
        <v>0</v>
      </c>
      <c r="N93" s="444">
        <f>IFERROR(AVERAGE(N90:N92),"")</f>
        <v>0</v>
      </c>
      <c r="O93" s="1341"/>
      <c r="P93" s="1305"/>
      <c r="Q93" s="352">
        <f>SUM(Q90:Q92)</f>
        <v>0</v>
      </c>
      <c r="R93" s="70">
        <f>SUM(R90:R92)</f>
        <v>0</v>
      </c>
      <c r="T93" s="472"/>
      <c r="U93" s="473"/>
      <c r="W93" s="478"/>
      <c r="X93" s="67"/>
      <c r="Y93" s="67"/>
      <c r="Z93" s="67"/>
      <c r="AA93" s="67"/>
      <c r="AB93" s="67"/>
      <c r="AC93" s="67"/>
      <c r="AD93" s="67"/>
      <c r="AE93" s="67"/>
      <c r="AF93" s="67"/>
      <c r="AG93" s="67"/>
      <c r="AH93" s="467"/>
    </row>
    <row r="94" spans="1:34" ht="30.65" customHeight="1">
      <c r="A94" s="1401" t="s">
        <v>1098</v>
      </c>
      <c r="B94" s="167">
        <f>B92+1</f>
        <v>64</v>
      </c>
      <c r="C94" s="170" t="s">
        <v>343</v>
      </c>
      <c r="D94" s="828" t="s">
        <v>582</v>
      </c>
      <c r="E94" s="889" t="s">
        <v>967</v>
      </c>
      <c r="F94" s="841" t="s">
        <v>967</v>
      </c>
      <c r="G94" s="841" t="s">
        <v>967</v>
      </c>
      <c r="H94" s="841" t="s">
        <v>967</v>
      </c>
      <c r="I94" s="774">
        <v>4000</v>
      </c>
      <c r="J94" s="182"/>
      <c r="K94" s="171" t="s">
        <v>502</v>
      </c>
      <c r="L94" s="1125">
        <v>1</v>
      </c>
      <c r="M94" s="58"/>
      <c r="N94" s="109">
        <f t="shared" ref="N94:N97" si="50">IF(L94,MIN(1,M94/L94),"")</f>
        <v>0</v>
      </c>
      <c r="O94" s="1341"/>
      <c r="P94" s="1305"/>
      <c r="Q94" s="165"/>
      <c r="R94" s="257"/>
      <c r="T94" s="466" t="s">
        <v>836</v>
      </c>
      <c r="U94" s="497" t="s">
        <v>1099</v>
      </c>
      <c r="W94" s="500"/>
      <c r="X94" s="501"/>
      <c r="Y94" s="501"/>
      <c r="Z94" s="502"/>
      <c r="AA94" s="503"/>
      <c r="AB94" s="501"/>
      <c r="AC94" s="501"/>
      <c r="AD94" s="501"/>
      <c r="AE94" s="504"/>
      <c r="AF94" s="505"/>
      <c r="AG94" s="498"/>
      <c r="AH94" s="499"/>
    </row>
    <row r="95" spans="1:34" ht="30.65" customHeight="1">
      <c r="A95" s="1303"/>
      <c r="B95" s="167">
        <f>B94+1</f>
        <v>65</v>
      </c>
      <c r="C95" s="170" t="s">
        <v>344</v>
      </c>
      <c r="D95" s="829" t="s">
        <v>588</v>
      </c>
      <c r="E95" s="889" t="s">
        <v>967</v>
      </c>
      <c r="F95" s="841" t="s">
        <v>967</v>
      </c>
      <c r="G95" s="841" t="s">
        <v>967</v>
      </c>
      <c r="H95" s="841" t="s">
        <v>967</v>
      </c>
      <c r="I95" s="774">
        <v>18050</v>
      </c>
      <c r="J95" s="183"/>
      <c r="K95" s="171" t="s">
        <v>719</v>
      </c>
      <c r="L95" s="1125">
        <v>2</v>
      </c>
      <c r="M95" s="58"/>
      <c r="N95" s="109">
        <f t="shared" si="50"/>
        <v>0</v>
      </c>
      <c r="O95" s="1341"/>
      <c r="P95" s="1305"/>
      <c r="Q95" s="165"/>
      <c r="R95" s="257"/>
      <c r="T95" s="466" t="s">
        <v>839</v>
      </c>
      <c r="U95" s="497" t="s">
        <v>1100</v>
      </c>
      <c r="W95" s="500" t="s">
        <v>412</v>
      </c>
      <c r="X95" s="501" t="s">
        <v>412</v>
      </c>
      <c r="Y95" s="501" t="s">
        <v>412</v>
      </c>
      <c r="Z95" s="502" t="s">
        <v>412</v>
      </c>
      <c r="AA95" s="503" t="s">
        <v>841</v>
      </c>
      <c r="AB95" s="501" t="s">
        <v>412</v>
      </c>
      <c r="AC95" s="501" t="s">
        <v>412</v>
      </c>
      <c r="AD95" s="501" t="s">
        <v>412</v>
      </c>
      <c r="AE95" s="504" t="s">
        <v>412</v>
      </c>
      <c r="AF95" s="505" t="s">
        <v>585</v>
      </c>
      <c r="AG95" s="498" t="s">
        <v>842</v>
      </c>
      <c r="AH95" s="499" t="s">
        <v>587</v>
      </c>
    </row>
    <row r="96" spans="1:34" ht="30.65" customHeight="1">
      <c r="A96" s="1348"/>
      <c r="B96" s="167">
        <f t="shared" ref="B96:B97" si="51">B95+1</f>
        <v>66</v>
      </c>
      <c r="C96" s="170" t="s">
        <v>345</v>
      </c>
      <c r="D96" s="831" t="s">
        <v>588</v>
      </c>
      <c r="E96" s="889" t="s">
        <v>967</v>
      </c>
      <c r="F96" s="841" t="s">
        <v>967</v>
      </c>
      <c r="G96" s="841" t="s">
        <v>967</v>
      </c>
      <c r="H96" s="841" t="s">
        <v>967</v>
      </c>
      <c r="I96" s="774">
        <v>4615</v>
      </c>
      <c r="J96" s="183"/>
      <c r="K96" s="171" t="s">
        <v>843</v>
      </c>
      <c r="L96" s="1125">
        <v>3</v>
      </c>
      <c r="M96" s="58"/>
      <c r="N96" s="109">
        <f t="shared" si="50"/>
        <v>0</v>
      </c>
      <c r="O96" s="1341"/>
      <c r="P96" s="1305"/>
      <c r="Q96" s="165"/>
      <c r="R96" s="257"/>
      <c r="T96" s="466" t="s">
        <v>844</v>
      </c>
      <c r="U96" s="497" t="s">
        <v>1101</v>
      </c>
      <c r="W96" s="500" t="s">
        <v>412</v>
      </c>
      <c r="X96" s="501" t="s">
        <v>412</v>
      </c>
      <c r="Y96" s="501" t="s">
        <v>412</v>
      </c>
      <c r="Z96" s="502" t="s">
        <v>412</v>
      </c>
      <c r="AA96" s="503" t="s">
        <v>412</v>
      </c>
      <c r="AB96" s="501" t="s">
        <v>412</v>
      </c>
      <c r="AC96" s="501" t="s">
        <v>412</v>
      </c>
      <c r="AD96" s="501" t="s">
        <v>412</v>
      </c>
      <c r="AE96" s="504" t="s">
        <v>412</v>
      </c>
      <c r="AF96" s="505" t="s">
        <v>585</v>
      </c>
      <c r="AG96" s="498" t="s">
        <v>1011</v>
      </c>
      <c r="AH96" s="499" t="s">
        <v>587</v>
      </c>
    </row>
    <row r="97" spans="1:34" ht="30.65" customHeight="1">
      <c r="A97" s="1348"/>
      <c r="B97" s="167">
        <f t="shared" si="51"/>
        <v>67</v>
      </c>
      <c r="C97" s="170" t="s">
        <v>346</v>
      </c>
      <c r="D97" s="832" t="s">
        <v>595</v>
      </c>
      <c r="E97" s="841" t="s">
        <v>967</v>
      </c>
      <c r="F97" s="841" t="s">
        <v>967</v>
      </c>
      <c r="G97" s="841" t="s">
        <v>967</v>
      </c>
      <c r="H97" s="841" t="s">
        <v>967</v>
      </c>
      <c r="I97" s="774">
        <v>3552</v>
      </c>
      <c r="J97" s="184"/>
      <c r="K97" s="171" t="s">
        <v>608</v>
      </c>
      <c r="L97" s="1125">
        <v>12</v>
      </c>
      <c r="M97" s="58"/>
      <c r="N97" s="109">
        <f t="shared" si="50"/>
        <v>0</v>
      </c>
      <c r="O97" s="1341"/>
      <c r="P97" s="1305"/>
      <c r="Q97" s="165"/>
      <c r="R97" s="257"/>
      <c r="T97" s="466" t="s">
        <v>846</v>
      </c>
      <c r="U97" s="497" t="s">
        <v>1102</v>
      </c>
      <c r="W97" s="500" t="s">
        <v>412</v>
      </c>
      <c r="X97" s="501" t="s">
        <v>412</v>
      </c>
      <c r="Y97" s="501" t="s">
        <v>412</v>
      </c>
      <c r="Z97" s="502" t="s">
        <v>412</v>
      </c>
      <c r="AA97" s="503" t="s">
        <v>412</v>
      </c>
      <c r="AB97" s="501" t="s">
        <v>412</v>
      </c>
      <c r="AC97" s="501" t="s">
        <v>412</v>
      </c>
      <c r="AD97" s="501" t="s">
        <v>412</v>
      </c>
      <c r="AE97" s="504" t="s">
        <v>412</v>
      </c>
      <c r="AF97" s="505" t="s">
        <v>585</v>
      </c>
      <c r="AG97" s="498" t="s">
        <v>1011</v>
      </c>
      <c r="AH97" s="499" t="s">
        <v>587</v>
      </c>
    </row>
    <row r="98" spans="1:34">
      <c r="A98" s="1348"/>
      <c r="B98" s="65"/>
      <c r="C98" s="81"/>
      <c r="D98" s="120"/>
      <c r="E98" s="891" t="s">
        <v>967</v>
      </c>
      <c r="F98" s="891" t="s">
        <v>967</v>
      </c>
      <c r="G98" s="891" t="s">
        <v>967</v>
      </c>
      <c r="H98" s="891" t="s">
        <v>967</v>
      </c>
      <c r="I98" s="359">
        <f t="shared" ref="I98" si="52">SUM(I94:I97)</f>
        <v>30217</v>
      </c>
      <c r="J98" s="139"/>
      <c r="K98" s="442"/>
      <c r="L98" s="440">
        <f>SUM(L94:L97)</f>
        <v>18</v>
      </c>
      <c r="M98" s="443">
        <f>SUM(M94:M97)</f>
        <v>0</v>
      </c>
      <c r="N98" s="444">
        <f>IFERROR(AVERAGE(N94:N97),"")</f>
        <v>0</v>
      </c>
      <c r="O98" s="444">
        <f>IFERROR(AVERAGE(N90:N92,N94:N97),"")</f>
        <v>0</v>
      </c>
      <c r="P98" s="444">
        <f>IFERROR(AVERAGE(N50:N55,N57:N62,N64:N70,N73:N76,N78:N82,N84:N87,N90:N92,N94:N97),"")</f>
        <v>0</v>
      </c>
      <c r="Q98" s="352">
        <f>SUM(Q94:Q97)</f>
        <v>0</v>
      </c>
      <c r="R98" s="70">
        <f>SUM(R94:R97)</f>
        <v>0</v>
      </c>
      <c r="T98" s="68"/>
      <c r="U98" s="469"/>
      <c r="W98" s="478"/>
      <c r="X98" s="67"/>
      <c r="Y98" s="67"/>
      <c r="Z98" s="67"/>
      <c r="AA98" s="67"/>
      <c r="AB98" s="67"/>
      <c r="AC98" s="67"/>
      <c r="AD98" s="67"/>
      <c r="AE98" s="67"/>
      <c r="AF98" s="67"/>
      <c r="AG98" s="67"/>
      <c r="AH98" s="467"/>
    </row>
    <row r="99" spans="1:34" ht="35.25" customHeight="1">
      <c r="A99" s="339" t="s">
        <v>205</v>
      </c>
      <c r="B99" s="340"/>
      <c r="C99" s="340"/>
      <c r="D99" s="340"/>
      <c r="E99" s="845" t="s">
        <v>967</v>
      </c>
      <c r="F99" s="845" t="s">
        <v>967</v>
      </c>
      <c r="G99" s="845" t="s">
        <v>967</v>
      </c>
      <c r="H99" s="845" t="s">
        <v>967</v>
      </c>
      <c r="I99" s="836">
        <f>I100+I111+I122</f>
        <v>189796</v>
      </c>
      <c r="J99" s="342"/>
      <c r="K99" s="343"/>
      <c r="L99" s="344"/>
      <c r="M99" s="345"/>
      <c r="N99" s="346"/>
      <c r="O99" s="346"/>
      <c r="P99" s="347"/>
      <c r="Q99" s="350">
        <f t="shared" ref="Q99:R99" si="53">Q100+Q111+Q122</f>
        <v>0</v>
      </c>
      <c r="R99" s="348">
        <f t="shared" si="53"/>
        <v>0</v>
      </c>
      <c r="T99" s="462" t="s">
        <v>205</v>
      </c>
      <c r="U99" s="463"/>
      <c r="W99" s="474" t="s">
        <v>205</v>
      </c>
      <c r="X99" s="475"/>
      <c r="Y99" s="475"/>
      <c r="Z99" s="475"/>
      <c r="AA99" s="475"/>
      <c r="AB99" s="475"/>
      <c r="AC99" s="475"/>
      <c r="AD99" s="475"/>
      <c r="AE99" s="475"/>
      <c r="AF99" s="475"/>
      <c r="AG99" s="475"/>
      <c r="AH99" s="476"/>
    </row>
    <row r="100" spans="1:34" ht="30.65" customHeight="1">
      <c r="A100" s="360" t="s">
        <v>347</v>
      </c>
      <c r="B100" s="361"/>
      <c r="C100" s="361"/>
      <c r="D100" s="822"/>
      <c r="E100" s="842" t="s">
        <v>248</v>
      </c>
      <c r="F100" s="842" t="s">
        <v>249</v>
      </c>
      <c r="G100" s="842" t="s">
        <v>250</v>
      </c>
      <c r="H100" s="842" t="s">
        <v>251</v>
      </c>
      <c r="I100" s="835">
        <f t="shared" ref="I100" si="54">I104+I110</f>
        <v>61583</v>
      </c>
      <c r="J100" s="366"/>
      <c r="K100" s="367"/>
      <c r="L100" s="368"/>
      <c r="M100" s="369"/>
      <c r="N100" s="370"/>
      <c r="O100" s="371"/>
      <c r="P100" s="372"/>
      <c r="Q100" s="373">
        <f t="shared" ref="Q100:R100" si="55">Q104+Q110</f>
        <v>0</v>
      </c>
      <c r="R100" s="374">
        <f t="shared" si="55"/>
        <v>0</v>
      </c>
      <c r="T100" s="464" t="s">
        <v>848</v>
      </c>
      <c r="U100" s="465"/>
      <c r="W100" s="464" t="s">
        <v>848</v>
      </c>
      <c r="X100" s="458"/>
      <c r="Y100" s="458"/>
      <c r="Z100" s="458"/>
      <c r="AA100" s="458"/>
      <c r="AB100" s="458"/>
      <c r="AC100" s="458"/>
      <c r="AD100" s="458"/>
      <c r="AE100" s="458"/>
      <c r="AF100" s="458"/>
      <c r="AG100" s="458"/>
      <c r="AH100" s="465"/>
    </row>
    <row r="101" spans="1:34" ht="30.65" customHeight="1">
      <c r="A101" s="1382" t="s">
        <v>1103</v>
      </c>
      <c r="B101" s="167">
        <f>B97+1</f>
        <v>68</v>
      </c>
      <c r="C101" s="170" t="s">
        <v>349</v>
      </c>
      <c r="D101" s="828" t="s">
        <v>582</v>
      </c>
      <c r="E101" s="889" t="s">
        <v>967</v>
      </c>
      <c r="F101" s="841" t="s">
        <v>967</v>
      </c>
      <c r="G101" s="841" t="s">
        <v>967</v>
      </c>
      <c r="H101" s="841" t="s">
        <v>967</v>
      </c>
      <c r="I101" s="774">
        <v>11613</v>
      </c>
      <c r="J101" s="182"/>
      <c r="K101" s="171" t="s">
        <v>849</v>
      </c>
      <c r="L101" s="1125">
        <v>5</v>
      </c>
      <c r="M101" s="58"/>
      <c r="N101" s="108">
        <f t="shared" ref="N101:N103" si="56">IF(L101,MIN(1,M101/L101),"")</f>
        <v>0</v>
      </c>
      <c r="O101" s="1336"/>
      <c r="P101" s="1342"/>
      <c r="Q101" s="165"/>
      <c r="R101" s="257"/>
      <c r="T101" s="466" t="s">
        <v>850</v>
      </c>
      <c r="U101" s="497" t="s">
        <v>1104</v>
      </c>
      <c r="W101" s="500" t="s">
        <v>412</v>
      </c>
      <c r="X101" s="501" t="s">
        <v>412</v>
      </c>
      <c r="Y101" s="501" t="s">
        <v>412</v>
      </c>
      <c r="Z101" s="502" t="s">
        <v>412</v>
      </c>
      <c r="AA101" s="503" t="s">
        <v>412</v>
      </c>
      <c r="AB101" s="501" t="s">
        <v>412</v>
      </c>
      <c r="AC101" s="501" t="s">
        <v>852</v>
      </c>
      <c r="AD101" s="501" t="s">
        <v>412</v>
      </c>
      <c r="AE101" s="504" t="s">
        <v>1013</v>
      </c>
      <c r="AF101" s="505" t="s">
        <v>585</v>
      </c>
      <c r="AG101" s="498" t="s">
        <v>649</v>
      </c>
      <c r="AH101" s="499" t="s">
        <v>587</v>
      </c>
    </row>
    <row r="102" spans="1:34" ht="30.65" customHeight="1">
      <c r="A102" s="1310"/>
      <c r="B102" s="167">
        <f>B101+1</f>
        <v>69</v>
      </c>
      <c r="C102" s="170" t="s">
        <v>350</v>
      </c>
      <c r="D102" s="829" t="s">
        <v>582</v>
      </c>
      <c r="E102" s="889" t="s">
        <v>967</v>
      </c>
      <c r="F102" s="841" t="s">
        <v>967</v>
      </c>
      <c r="G102" s="841" t="s">
        <v>967</v>
      </c>
      <c r="H102" s="841" t="s">
        <v>967</v>
      </c>
      <c r="I102" s="774">
        <v>10077</v>
      </c>
      <c r="J102" s="183"/>
      <c r="K102" s="171" t="s">
        <v>843</v>
      </c>
      <c r="L102" s="1125">
        <v>1</v>
      </c>
      <c r="M102" s="58"/>
      <c r="N102" s="108">
        <f t="shared" si="56"/>
        <v>0</v>
      </c>
      <c r="O102" s="1337"/>
      <c r="P102" s="1343"/>
      <c r="Q102" s="165"/>
      <c r="R102" s="257"/>
      <c r="T102" s="466" t="s">
        <v>854</v>
      </c>
      <c r="U102" s="497" t="s">
        <v>1105</v>
      </c>
      <c r="W102" s="500" t="s">
        <v>412</v>
      </c>
      <c r="X102" s="501" t="s">
        <v>412</v>
      </c>
      <c r="Y102" s="501" t="s">
        <v>412</v>
      </c>
      <c r="Z102" s="502" t="s">
        <v>412</v>
      </c>
      <c r="AA102" s="503" t="s">
        <v>412</v>
      </c>
      <c r="AB102" s="501" t="s">
        <v>412</v>
      </c>
      <c r="AC102" s="501" t="s">
        <v>412</v>
      </c>
      <c r="AD102" s="501" t="s">
        <v>412</v>
      </c>
      <c r="AE102" s="504" t="s">
        <v>412</v>
      </c>
      <c r="AF102" s="505" t="s">
        <v>746</v>
      </c>
      <c r="AG102" s="498" t="s">
        <v>649</v>
      </c>
      <c r="AH102" s="499" t="s">
        <v>587</v>
      </c>
    </row>
    <row r="103" spans="1:34" ht="30.65" customHeight="1">
      <c r="A103" s="1310"/>
      <c r="B103" s="167">
        <f>B102+1</f>
        <v>70</v>
      </c>
      <c r="C103" s="170" t="s">
        <v>351</v>
      </c>
      <c r="D103" s="830" t="s">
        <v>78</v>
      </c>
      <c r="E103" s="841" t="s">
        <v>967</v>
      </c>
      <c r="F103" s="841" t="s">
        <v>967</v>
      </c>
      <c r="G103" s="841" t="s">
        <v>967</v>
      </c>
      <c r="H103" s="841" t="s">
        <v>967</v>
      </c>
      <c r="I103" s="774">
        <v>2080</v>
      </c>
      <c r="J103" s="184"/>
      <c r="K103" s="171" t="s">
        <v>857</v>
      </c>
      <c r="L103" s="1125">
        <v>1</v>
      </c>
      <c r="M103" s="58"/>
      <c r="N103" s="108">
        <f t="shared" si="56"/>
        <v>0</v>
      </c>
      <c r="O103" s="1337"/>
      <c r="P103" s="1343"/>
      <c r="Q103" s="165"/>
      <c r="R103" s="257"/>
      <c r="T103" s="466" t="s">
        <v>858</v>
      </c>
      <c r="U103" s="497" t="s">
        <v>859</v>
      </c>
      <c r="W103" s="500" t="s">
        <v>412</v>
      </c>
      <c r="X103" s="501" t="s">
        <v>412</v>
      </c>
      <c r="Y103" s="501" t="s">
        <v>412</v>
      </c>
      <c r="Z103" s="502" t="s">
        <v>412</v>
      </c>
      <c r="AA103" s="503" t="s">
        <v>412</v>
      </c>
      <c r="AB103" s="501" t="s">
        <v>412</v>
      </c>
      <c r="AC103" s="501" t="s">
        <v>412</v>
      </c>
      <c r="AD103" s="501" t="s">
        <v>412</v>
      </c>
      <c r="AE103" s="504" t="s">
        <v>412</v>
      </c>
      <c r="AF103" s="505" t="s">
        <v>585</v>
      </c>
      <c r="AG103" s="498" t="s">
        <v>860</v>
      </c>
      <c r="AH103" s="499" t="s">
        <v>587</v>
      </c>
    </row>
    <row r="104" spans="1:34">
      <c r="A104" s="1355"/>
      <c r="B104" s="65"/>
      <c r="C104" s="81"/>
      <c r="D104" s="120"/>
      <c r="E104" s="891" t="s">
        <v>967</v>
      </c>
      <c r="F104" s="891" t="s">
        <v>967</v>
      </c>
      <c r="G104" s="891" t="s">
        <v>967</v>
      </c>
      <c r="H104" s="891" t="s">
        <v>967</v>
      </c>
      <c r="I104" s="359">
        <f t="shared" ref="I104" si="57">SUM(I101:I103)</f>
        <v>23770</v>
      </c>
      <c r="J104" s="139"/>
      <c r="K104" s="442"/>
      <c r="L104" s="440">
        <f>SUM(L101:L103)</f>
        <v>7</v>
      </c>
      <c r="M104" s="443">
        <f>SUM(M101:M103)</f>
        <v>0</v>
      </c>
      <c r="N104" s="444">
        <f>IFERROR(AVERAGE(N101:N103),"")</f>
        <v>0</v>
      </c>
      <c r="O104" s="1337"/>
      <c r="P104" s="1343"/>
      <c r="Q104" s="352">
        <f>SUM(Q101:Q103)</f>
        <v>0</v>
      </c>
      <c r="R104" s="70">
        <f>SUM(R101:R103)</f>
        <v>0</v>
      </c>
      <c r="T104" s="68"/>
      <c r="U104" s="469"/>
      <c r="W104" s="478"/>
      <c r="X104" s="67"/>
      <c r="Y104" s="67"/>
      <c r="Z104" s="67"/>
      <c r="AA104" s="67"/>
      <c r="AB104" s="67"/>
      <c r="AC104" s="67"/>
      <c r="AD104" s="67"/>
      <c r="AE104" s="67"/>
      <c r="AF104" s="67"/>
      <c r="AG104" s="67"/>
      <c r="AH104" s="467"/>
    </row>
    <row r="105" spans="1:34" ht="31.5" customHeight="1">
      <c r="A105" s="1382" t="s">
        <v>1106</v>
      </c>
      <c r="B105" s="167">
        <f>B103+1</f>
        <v>71</v>
      </c>
      <c r="C105" s="170" t="s">
        <v>353</v>
      </c>
      <c r="D105" s="828" t="s">
        <v>595</v>
      </c>
      <c r="E105" s="889" t="s">
        <v>967</v>
      </c>
      <c r="F105" s="841" t="s">
        <v>967</v>
      </c>
      <c r="G105" s="841" t="s">
        <v>967</v>
      </c>
      <c r="H105" s="841" t="s">
        <v>967</v>
      </c>
      <c r="I105" s="774">
        <v>15384</v>
      </c>
      <c r="J105" s="182"/>
      <c r="K105" s="171" t="s">
        <v>861</v>
      </c>
      <c r="L105" s="1125">
        <v>4</v>
      </c>
      <c r="M105" s="58"/>
      <c r="N105" s="108">
        <f t="shared" ref="N105:N109" si="58">IF(L105,MIN(1,M105/L105),"")</f>
        <v>0</v>
      </c>
      <c r="O105" s="1337"/>
      <c r="P105" s="1343"/>
      <c r="Q105" s="165"/>
      <c r="R105" s="257"/>
      <c r="T105" s="466" t="s">
        <v>862</v>
      </c>
      <c r="U105" s="497" t="s">
        <v>1107</v>
      </c>
      <c r="W105" s="500" t="s">
        <v>412</v>
      </c>
      <c r="X105" s="501" t="s">
        <v>412</v>
      </c>
      <c r="Y105" s="501" t="s">
        <v>412</v>
      </c>
      <c r="Z105" s="502" t="s">
        <v>412</v>
      </c>
      <c r="AA105" s="503" t="s">
        <v>412</v>
      </c>
      <c r="AB105" s="501" t="s">
        <v>412</v>
      </c>
      <c r="AC105" s="501" t="s">
        <v>412</v>
      </c>
      <c r="AD105" s="501" t="s">
        <v>412</v>
      </c>
      <c r="AE105" s="504" t="s">
        <v>412</v>
      </c>
      <c r="AF105" s="505" t="s">
        <v>585</v>
      </c>
      <c r="AG105" s="498" t="s">
        <v>864</v>
      </c>
      <c r="AH105" s="499" t="s">
        <v>587</v>
      </c>
    </row>
    <row r="106" spans="1:34" ht="31.5" customHeight="1">
      <c r="A106" s="1302"/>
      <c r="B106" s="167">
        <f>B105+1</f>
        <v>72</v>
      </c>
      <c r="C106" s="170" t="s">
        <v>354</v>
      </c>
      <c r="D106" s="829" t="s">
        <v>78</v>
      </c>
      <c r="E106" s="841" t="s">
        <v>967</v>
      </c>
      <c r="F106" s="841" t="s">
        <v>967</v>
      </c>
      <c r="G106" s="841" t="s">
        <v>967</v>
      </c>
      <c r="H106" s="889" t="s">
        <v>967</v>
      </c>
      <c r="I106" s="774">
        <v>3846</v>
      </c>
      <c r="J106" s="183"/>
      <c r="K106" s="171" t="s">
        <v>865</v>
      </c>
      <c r="L106" s="1125">
        <v>2</v>
      </c>
      <c r="M106" s="58"/>
      <c r="N106" s="108">
        <f t="shared" si="58"/>
        <v>0</v>
      </c>
      <c r="O106" s="1337"/>
      <c r="P106" s="1343"/>
      <c r="Q106" s="165"/>
      <c r="R106" s="257"/>
      <c r="T106" s="466" t="s">
        <v>866</v>
      </c>
      <c r="U106" s="497" t="s">
        <v>1108</v>
      </c>
      <c r="W106" s="500" t="s">
        <v>412</v>
      </c>
      <c r="X106" s="501" t="s">
        <v>412</v>
      </c>
      <c r="Y106" s="501" t="s">
        <v>585</v>
      </c>
      <c r="Z106" s="502" t="s">
        <v>412</v>
      </c>
      <c r="AA106" s="503" t="s">
        <v>868</v>
      </c>
      <c r="AB106" s="501" t="s">
        <v>412</v>
      </c>
      <c r="AC106" s="501" t="s">
        <v>412</v>
      </c>
      <c r="AD106" s="501" t="s">
        <v>412</v>
      </c>
      <c r="AE106" s="504" t="s">
        <v>412</v>
      </c>
      <c r="AF106" s="505" t="s">
        <v>585</v>
      </c>
      <c r="AG106" s="498" t="s">
        <v>869</v>
      </c>
      <c r="AH106" s="499" t="s">
        <v>587</v>
      </c>
    </row>
    <row r="107" spans="1:34" ht="31.5" customHeight="1">
      <c r="A107" s="1302"/>
      <c r="B107" s="167">
        <f t="shared" ref="B107:B109" si="59">B106+1</f>
        <v>73</v>
      </c>
      <c r="C107" s="170" t="s">
        <v>355</v>
      </c>
      <c r="D107" s="829" t="s">
        <v>588</v>
      </c>
      <c r="E107" s="841" t="s">
        <v>967</v>
      </c>
      <c r="F107" s="841" t="s">
        <v>967</v>
      </c>
      <c r="G107" s="841" t="s">
        <v>967</v>
      </c>
      <c r="H107" s="841" t="s">
        <v>967</v>
      </c>
      <c r="I107" s="774">
        <v>7531</v>
      </c>
      <c r="J107" s="183"/>
      <c r="K107" s="171" t="s">
        <v>870</v>
      </c>
      <c r="L107" s="1125">
        <v>5</v>
      </c>
      <c r="M107" s="58"/>
      <c r="N107" s="108">
        <f t="shared" si="58"/>
        <v>0</v>
      </c>
      <c r="O107" s="1337"/>
      <c r="P107" s="1343"/>
      <c r="Q107" s="165"/>
      <c r="R107" s="257"/>
      <c r="T107" s="466" t="s">
        <v>871</v>
      </c>
      <c r="U107" s="497" t="s">
        <v>1109</v>
      </c>
      <c r="W107" s="500" t="s">
        <v>412</v>
      </c>
      <c r="X107" s="501" t="s">
        <v>412</v>
      </c>
      <c r="Y107" s="501" t="s">
        <v>412</v>
      </c>
      <c r="Z107" s="502" t="s">
        <v>412</v>
      </c>
      <c r="AA107" s="503" t="s">
        <v>412</v>
      </c>
      <c r="AB107" s="501" t="s">
        <v>412</v>
      </c>
      <c r="AC107" s="501" t="s">
        <v>585</v>
      </c>
      <c r="AD107" s="501" t="s">
        <v>412</v>
      </c>
      <c r="AE107" s="504" t="s">
        <v>873</v>
      </c>
      <c r="AF107" s="505" t="s">
        <v>585</v>
      </c>
      <c r="AG107" s="498" t="s">
        <v>874</v>
      </c>
      <c r="AH107" s="499" t="s">
        <v>587</v>
      </c>
    </row>
    <row r="108" spans="1:34" ht="31.5" customHeight="1">
      <c r="A108" s="1310"/>
      <c r="B108" s="167">
        <f t="shared" si="59"/>
        <v>74</v>
      </c>
      <c r="C108" s="170" t="s">
        <v>356</v>
      </c>
      <c r="D108" s="829" t="s">
        <v>78</v>
      </c>
      <c r="E108" s="889" t="s">
        <v>967</v>
      </c>
      <c r="F108" s="841" t="s">
        <v>967</v>
      </c>
      <c r="G108" s="841" t="s">
        <v>967</v>
      </c>
      <c r="H108" s="841" t="s">
        <v>967</v>
      </c>
      <c r="I108" s="774">
        <v>4910</v>
      </c>
      <c r="J108" s="183"/>
      <c r="K108" s="171" t="s">
        <v>875</v>
      </c>
      <c r="L108" s="1125">
        <v>1</v>
      </c>
      <c r="M108" s="58"/>
      <c r="N108" s="108">
        <f t="shared" si="58"/>
        <v>0</v>
      </c>
      <c r="O108" s="1337"/>
      <c r="P108" s="1343"/>
      <c r="Q108" s="165"/>
      <c r="R108" s="257"/>
      <c r="T108" s="466" t="s">
        <v>876</v>
      </c>
      <c r="U108" s="497" t="s">
        <v>1110</v>
      </c>
      <c r="W108" s="500" t="s">
        <v>412</v>
      </c>
      <c r="X108" s="501" t="s">
        <v>412</v>
      </c>
      <c r="Y108" s="501" t="s">
        <v>412</v>
      </c>
      <c r="Z108" s="502" t="s">
        <v>412</v>
      </c>
      <c r="AA108" s="503" t="s">
        <v>412</v>
      </c>
      <c r="AB108" s="501" t="s">
        <v>412</v>
      </c>
      <c r="AC108" s="501" t="s">
        <v>412</v>
      </c>
      <c r="AD108" s="501" t="s">
        <v>412</v>
      </c>
      <c r="AE108" s="504" t="s">
        <v>412</v>
      </c>
      <c r="AF108" s="505" t="s">
        <v>585</v>
      </c>
      <c r="AG108" s="498" t="s">
        <v>878</v>
      </c>
      <c r="AH108" s="499" t="s">
        <v>587</v>
      </c>
    </row>
    <row r="109" spans="1:34" ht="31.5" customHeight="1">
      <c r="A109" s="1310"/>
      <c r="B109" s="167">
        <f t="shared" si="59"/>
        <v>75</v>
      </c>
      <c r="C109" s="170" t="s">
        <v>357</v>
      </c>
      <c r="D109" s="830" t="s">
        <v>78</v>
      </c>
      <c r="E109" s="889" t="s">
        <v>967</v>
      </c>
      <c r="F109" s="841" t="s">
        <v>967</v>
      </c>
      <c r="G109" s="841" t="s">
        <v>967</v>
      </c>
      <c r="H109" s="841" t="s">
        <v>967</v>
      </c>
      <c r="I109" s="774">
        <v>6142</v>
      </c>
      <c r="J109" s="184"/>
      <c r="K109" s="171" t="s">
        <v>879</v>
      </c>
      <c r="L109" s="1125">
        <v>10</v>
      </c>
      <c r="M109" s="58"/>
      <c r="N109" s="108">
        <f t="shared" si="58"/>
        <v>0</v>
      </c>
      <c r="O109" s="1337"/>
      <c r="P109" s="1343"/>
      <c r="Q109" s="165"/>
      <c r="R109" s="257"/>
      <c r="T109" s="466" t="s">
        <v>880</v>
      </c>
      <c r="U109" s="497" t="s">
        <v>1111</v>
      </c>
      <c r="W109" s="500" t="s">
        <v>412</v>
      </c>
      <c r="X109" s="501" t="s">
        <v>412</v>
      </c>
      <c r="Y109" s="501" t="s">
        <v>412</v>
      </c>
      <c r="Z109" s="502" t="s">
        <v>412</v>
      </c>
      <c r="AA109" s="503" t="s">
        <v>412</v>
      </c>
      <c r="AB109" s="501" t="s">
        <v>412</v>
      </c>
      <c r="AC109" s="501" t="s">
        <v>412</v>
      </c>
      <c r="AD109" s="501" t="s">
        <v>412</v>
      </c>
      <c r="AE109" s="504" t="s">
        <v>412</v>
      </c>
      <c r="AF109" s="505" t="s">
        <v>585</v>
      </c>
      <c r="AG109" s="498" t="s">
        <v>882</v>
      </c>
      <c r="AH109" s="499" t="s">
        <v>587</v>
      </c>
    </row>
    <row r="110" spans="1:34">
      <c r="A110" s="1355"/>
      <c r="B110" s="65"/>
      <c r="C110" s="81"/>
      <c r="D110" s="120"/>
      <c r="E110" s="891" t="s">
        <v>967</v>
      </c>
      <c r="F110" s="891" t="s">
        <v>967</v>
      </c>
      <c r="G110" s="891" t="s">
        <v>967</v>
      </c>
      <c r="H110" s="891" t="s">
        <v>967</v>
      </c>
      <c r="I110" s="359">
        <f t="shared" ref="I110" si="60">SUM(I105:I109)</f>
        <v>37813</v>
      </c>
      <c r="J110" s="139"/>
      <c r="K110" s="442"/>
      <c r="L110" s="440">
        <f>SUM(L105:L109)</f>
        <v>22</v>
      </c>
      <c r="M110" s="443">
        <f>SUM(M105:M109)</f>
        <v>0</v>
      </c>
      <c r="N110" s="444">
        <f>IFERROR(AVERAGE(N105:N109),"")</f>
        <v>0</v>
      </c>
      <c r="O110" s="444">
        <f>IFERROR(AVERAGE(N101:N103,N105:N109),"")</f>
        <v>0</v>
      </c>
      <c r="P110" s="1343"/>
      <c r="Q110" s="352">
        <f>SUM(Q105:Q109)</f>
        <v>0</v>
      </c>
      <c r="R110" s="70">
        <f>SUM(R105:R109)</f>
        <v>0</v>
      </c>
      <c r="T110" s="68"/>
      <c r="U110" s="469"/>
      <c r="W110" s="478"/>
      <c r="X110" s="67"/>
      <c r="Y110" s="67"/>
      <c r="Z110" s="67"/>
      <c r="AA110" s="67"/>
      <c r="AB110" s="67"/>
      <c r="AC110" s="67"/>
      <c r="AD110" s="67"/>
      <c r="AE110" s="67"/>
      <c r="AF110" s="67"/>
      <c r="AG110" s="67"/>
      <c r="AH110" s="467"/>
    </row>
    <row r="111" spans="1:34" ht="30.65" customHeight="1">
      <c r="A111" s="360" t="s">
        <v>358</v>
      </c>
      <c r="B111" s="361"/>
      <c r="C111" s="361"/>
      <c r="D111" s="822"/>
      <c r="E111" s="842" t="s">
        <v>248</v>
      </c>
      <c r="F111" s="842" t="s">
        <v>249</v>
      </c>
      <c r="G111" s="842" t="s">
        <v>250</v>
      </c>
      <c r="H111" s="842" t="s">
        <v>251</v>
      </c>
      <c r="I111" s="835">
        <f>I121</f>
        <v>94462</v>
      </c>
      <c r="J111" s="366"/>
      <c r="K111" s="367"/>
      <c r="L111" s="368"/>
      <c r="M111" s="369"/>
      <c r="N111" s="370"/>
      <c r="O111" s="371"/>
      <c r="P111" s="1343"/>
      <c r="Q111" s="373">
        <f t="shared" ref="Q111:R111" si="61">Q121</f>
        <v>0</v>
      </c>
      <c r="R111" s="374">
        <f t="shared" si="61"/>
        <v>0</v>
      </c>
      <c r="T111" s="464" t="s">
        <v>883</v>
      </c>
      <c r="U111" s="465"/>
      <c r="W111" s="464" t="s">
        <v>884</v>
      </c>
      <c r="X111" s="458"/>
      <c r="Y111" s="458"/>
      <c r="Z111" s="458"/>
      <c r="AA111" s="458"/>
      <c r="AB111" s="458"/>
      <c r="AC111" s="458"/>
      <c r="AD111" s="458"/>
      <c r="AE111" s="458"/>
      <c r="AF111" s="458"/>
      <c r="AG111" s="458"/>
      <c r="AH111" s="465"/>
    </row>
    <row r="112" spans="1:34" ht="30.65" customHeight="1">
      <c r="A112" s="1382" t="s">
        <v>1112</v>
      </c>
      <c r="B112" s="167">
        <f>B109+1</f>
        <v>76</v>
      </c>
      <c r="C112" s="170" t="s">
        <v>1113</v>
      </c>
      <c r="D112" s="829"/>
      <c r="E112" s="841" t="s">
        <v>967</v>
      </c>
      <c r="F112" s="841" t="s">
        <v>967</v>
      </c>
      <c r="G112" s="841" t="s">
        <v>967</v>
      </c>
      <c r="H112" s="841" t="s">
        <v>967</v>
      </c>
      <c r="I112" s="774">
        <v>6000</v>
      </c>
      <c r="J112" s="183"/>
      <c r="K112" s="171" t="s">
        <v>592</v>
      </c>
      <c r="L112" s="1125">
        <v>1</v>
      </c>
      <c r="M112" s="58"/>
      <c r="N112" s="108">
        <f t="shared" ref="N112:N120" si="62">IF(L112,MIN(1,M112/L112),"")</f>
        <v>0</v>
      </c>
      <c r="O112" s="1381"/>
      <c r="P112" s="1343"/>
      <c r="Q112" s="165"/>
      <c r="R112" s="257"/>
      <c r="T112" s="466" t="s">
        <v>885</v>
      </c>
      <c r="U112" s="497" t="s">
        <v>1114</v>
      </c>
      <c r="W112" s="500" t="s">
        <v>412</v>
      </c>
      <c r="X112" s="501" t="s">
        <v>412</v>
      </c>
      <c r="Y112" s="501" t="s">
        <v>412</v>
      </c>
      <c r="Z112" s="502" t="s">
        <v>412</v>
      </c>
      <c r="AA112" s="503" t="s">
        <v>412</v>
      </c>
      <c r="AB112" s="501" t="s">
        <v>412</v>
      </c>
      <c r="AC112" s="501" t="s">
        <v>412</v>
      </c>
      <c r="AD112" s="501" t="s">
        <v>412</v>
      </c>
      <c r="AE112" s="504" t="s">
        <v>412</v>
      </c>
      <c r="AF112" s="505" t="s">
        <v>585</v>
      </c>
      <c r="AG112" s="498" t="s">
        <v>888</v>
      </c>
      <c r="AH112" s="499" t="s">
        <v>587</v>
      </c>
    </row>
    <row r="113" spans="1:34" ht="30.65" customHeight="1">
      <c r="A113" s="1376"/>
      <c r="B113" s="167">
        <f>B112+1</f>
        <v>77</v>
      </c>
      <c r="C113" s="170" t="s">
        <v>361</v>
      </c>
      <c r="D113" s="829"/>
      <c r="E113" s="841" t="s">
        <v>967</v>
      </c>
      <c r="F113" s="841" t="s">
        <v>967</v>
      </c>
      <c r="G113" s="841" t="s">
        <v>967</v>
      </c>
      <c r="H113" s="841" t="s">
        <v>967</v>
      </c>
      <c r="I113" s="774">
        <v>11538</v>
      </c>
      <c r="J113" s="183"/>
      <c r="K113" s="171" t="s">
        <v>592</v>
      </c>
      <c r="L113" s="1125">
        <v>5</v>
      </c>
      <c r="M113" s="58"/>
      <c r="N113" s="108">
        <f t="shared" si="62"/>
        <v>0</v>
      </c>
      <c r="O113" s="1343"/>
      <c r="P113" s="1343"/>
      <c r="Q113" s="165"/>
      <c r="R113" s="257"/>
      <c r="T113" s="466" t="s">
        <v>886</v>
      </c>
      <c r="U113" s="497" t="s">
        <v>1115</v>
      </c>
      <c r="W113" s="500" t="s">
        <v>412</v>
      </c>
      <c r="X113" s="501" t="s">
        <v>412</v>
      </c>
      <c r="Y113" s="501" t="s">
        <v>412</v>
      </c>
      <c r="Z113" s="502" t="s">
        <v>412</v>
      </c>
      <c r="AA113" s="503" t="s">
        <v>412</v>
      </c>
      <c r="AB113" s="501" t="s">
        <v>412</v>
      </c>
      <c r="AC113" s="501" t="s">
        <v>412</v>
      </c>
      <c r="AD113" s="501" t="s">
        <v>412</v>
      </c>
      <c r="AE113" s="504" t="s">
        <v>412</v>
      </c>
      <c r="AF113" s="505" t="s">
        <v>585</v>
      </c>
      <c r="AG113" s="498" t="s">
        <v>888</v>
      </c>
      <c r="AH113" s="499" t="s">
        <v>587</v>
      </c>
    </row>
    <row r="114" spans="1:34" ht="30.65" customHeight="1">
      <c r="A114" s="1376"/>
      <c r="B114" s="167">
        <f t="shared" ref="B114:B120" si="63">B113+1</f>
        <v>78</v>
      </c>
      <c r="C114" s="170" t="s">
        <v>362</v>
      </c>
      <c r="D114" s="829"/>
      <c r="E114" s="841" t="s">
        <v>967</v>
      </c>
      <c r="F114" s="841" t="s">
        <v>967</v>
      </c>
      <c r="G114" s="841" t="s">
        <v>967</v>
      </c>
      <c r="H114" s="841" t="s">
        <v>967</v>
      </c>
      <c r="I114" s="774">
        <v>9231</v>
      </c>
      <c r="J114" s="183"/>
      <c r="K114" s="171" t="s">
        <v>483</v>
      </c>
      <c r="L114" s="1125">
        <v>8</v>
      </c>
      <c r="M114" s="58"/>
      <c r="N114" s="108">
        <f t="shared" si="62"/>
        <v>0</v>
      </c>
      <c r="O114" s="1343"/>
      <c r="P114" s="1343"/>
      <c r="Q114" s="165"/>
      <c r="R114" s="257"/>
      <c r="T114" s="466" t="s">
        <v>889</v>
      </c>
      <c r="U114" s="497" t="s">
        <v>1116</v>
      </c>
      <c r="W114" s="500" t="s">
        <v>412</v>
      </c>
      <c r="X114" s="501" t="s">
        <v>412</v>
      </c>
      <c r="Y114" s="501" t="s">
        <v>412</v>
      </c>
      <c r="Z114" s="502" t="s">
        <v>412</v>
      </c>
      <c r="AA114" s="503" t="s">
        <v>412</v>
      </c>
      <c r="AB114" s="501" t="s">
        <v>412</v>
      </c>
      <c r="AC114" s="501" t="s">
        <v>412</v>
      </c>
      <c r="AD114" s="501" t="s">
        <v>412</v>
      </c>
      <c r="AE114" s="504" t="s">
        <v>412</v>
      </c>
      <c r="AF114" s="505" t="s">
        <v>585</v>
      </c>
      <c r="AG114" s="498" t="s">
        <v>888</v>
      </c>
      <c r="AH114" s="499" t="s">
        <v>587</v>
      </c>
    </row>
    <row r="115" spans="1:34" ht="30.65" customHeight="1">
      <c r="A115" s="1376"/>
      <c r="B115" s="167">
        <f t="shared" si="63"/>
        <v>79</v>
      </c>
      <c r="C115" s="170" t="s">
        <v>363</v>
      </c>
      <c r="D115" s="829"/>
      <c r="E115" s="889" t="s">
        <v>967</v>
      </c>
      <c r="F115" s="841" t="s">
        <v>967</v>
      </c>
      <c r="G115" s="889" t="s">
        <v>967</v>
      </c>
      <c r="H115" s="841" t="s">
        <v>967</v>
      </c>
      <c r="I115" s="774">
        <v>10000</v>
      </c>
      <c r="J115" s="183"/>
      <c r="K115" s="171" t="s">
        <v>534</v>
      </c>
      <c r="L115" s="1125">
        <v>5</v>
      </c>
      <c r="M115" s="58"/>
      <c r="N115" s="108">
        <f t="shared" si="62"/>
        <v>0</v>
      </c>
      <c r="O115" s="1343"/>
      <c r="P115" s="1343"/>
      <c r="Q115" s="165"/>
      <c r="R115" s="257"/>
      <c r="T115" s="466" t="s">
        <v>891</v>
      </c>
      <c r="U115" s="497" t="s">
        <v>1117</v>
      </c>
      <c r="W115" s="500" t="s">
        <v>412</v>
      </c>
      <c r="X115" s="501" t="s">
        <v>412</v>
      </c>
      <c r="Y115" s="501" t="s">
        <v>412</v>
      </c>
      <c r="Z115" s="502" t="s">
        <v>412</v>
      </c>
      <c r="AA115" s="503" t="s">
        <v>412</v>
      </c>
      <c r="AB115" s="501" t="s">
        <v>412</v>
      </c>
      <c r="AC115" s="501" t="s">
        <v>893</v>
      </c>
      <c r="AD115" s="501" t="s">
        <v>412</v>
      </c>
      <c r="AE115" s="504" t="s">
        <v>412</v>
      </c>
      <c r="AF115" s="505" t="s">
        <v>585</v>
      </c>
      <c r="AG115" s="498" t="s">
        <v>888</v>
      </c>
      <c r="AH115" s="499" t="s">
        <v>587</v>
      </c>
    </row>
    <row r="116" spans="1:34" ht="30.65" customHeight="1">
      <c r="A116" s="1376"/>
      <c r="B116" s="167">
        <f t="shared" si="63"/>
        <v>80</v>
      </c>
      <c r="C116" s="170" t="s">
        <v>364</v>
      </c>
      <c r="D116" s="829"/>
      <c r="E116" s="889" t="s">
        <v>967</v>
      </c>
      <c r="F116" s="841" t="s">
        <v>967</v>
      </c>
      <c r="G116" s="889" t="s">
        <v>967</v>
      </c>
      <c r="H116" s="841" t="s">
        <v>967</v>
      </c>
      <c r="I116" s="774">
        <v>3846</v>
      </c>
      <c r="J116" s="183"/>
      <c r="K116" s="171" t="s">
        <v>534</v>
      </c>
      <c r="L116" s="1125">
        <v>2</v>
      </c>
      <c r="M116" s="58"/>
      <c r="N116" s="108">
        <f t="shared" si="62"/>
        <v>0</v>
      </c>
      <c r="O116" s="1343"/>
      <c r="P116" s="1343"/>
      <c r="Q116" s="165"/>
      <c r="R116" s="257"/>
      <c r="T116" s="466" t="s">
        <v>894</v>
      </c>
      <c r="U116" s="497" t="s">
        <v>1118</v>
      </c>
      <c r="W116" s="500" t="s">
        <v>412</v>
      </c>
      <c r="X116" s="501" t="s">
        <v>412</v>
      </c>
      <c r="Y116" s="501" t="s">
        <v>412</v>
      </c>
      <c r="Z116" s="502" t="s">
        <v>412</v>
      </c>
      <c r="AA116" s="503" t="s">
        <v>412</v>
      </c>
      <c r="AB116" s="501" t="s">
        <v>412</v>
      </c>
      <c r="AC116" s="501" t="s">
        <v>893</v>
      </c>
      <c r="AD116" s="501" t="s">
        <v>412</v>
      </c>
      <c r="AE116" s="504" t="s">
        <v>412</v>
      </c>
      <c r="AF116" s="505" t="s">
        <v>585</v>
      </c>
      <c r="AG116" s="498" t="s">
        <v>888</v>
      </c>
      <c r="AH116" s="499" t="s">
        <v>587</v>
      </c>
    </row>
    <row r="117" spans="1:34" ht="30.65" customHeight="1">
      <c r="A117" s="1376"/>
      <c r="B117" s="167">
        <f t="shared" si="63"/>
        <v>81</v>
      </c>
      <c r="C117" s="170" t="s">
        <v>365</v>
      </c>
      <c r="D117" s="829"/>
      <c r="E117" s="841" t="s">
        <v>967</v>
      </c>
      <c r="F117" s="841" t="s">
        <v>967</v>
      </c>
      <c r="G117" s="841" t="s">
        <v>967</v>
      </c>
      <c r="H117" s="889" t="s">
        <v>967</v>
      </c>
      <c r="I117" s="774">
        <v>3847</v>
      </c>
      <c r="J117" s="183"/>
      <c r="K117" s="171" t="s">
        <v>488</v>
      </c>
      <c r="L117" s="1125">
        <v>1</v>
      </c>
      <c r="M117" s="58"/>
      <c r="N117" s="108">
        <f t="shared" si="62"/>
        <v>0</v>
      </c>
      <c r="O117" s="1343"/>
      <c r="P117" s="1343"/>
      <c r="Q117" s="165"/>
      <c r="R117" s="257"/>
      <c r="T117" s="466" t="s">
        <v>896</v>
      </c>
      <c r="U117" s="497" t="s">
        <v>897</v>
      </c>
      <c r="W117" s="500" t="s">
        <v>412</v>
      </c>
      <c r="X117" s="501" t="s">
        <v>412</v>
      </c>
      <c r="Y117" s="501" t="s">
        <v>412</v>
      </c>
      <c r="Z117" s="502" t="s">
        <v>412</v>
      </c>
      <c r="AA117" s="503" t="s">
        <v>412</v>
      </c>
      <c r="AB117" s="501" t="s">
        <v>412</v>
      </c>
      <c r="AC117" s="501" t="s">
        <v>893</v>
      </c>
      <c r="AD117" s="501" t="s">
        <v>412</v>
      </c>
      <c r="AE117" s="504" t="s">
        <v>412</v>
      </c>
      <c r="AF117" s="505" t="s">
        <v>585</v>
      </c>
      <c r="AG117" s="498" t="s">
        <v>649</v>
      </c>
      <c r="AH117" s="499" t="s">
        <v>587</v>
      </c>
    </row>
    <row r="118" spans="1:34" ht="30.65" customHeight="1">
      <c r="A118" s="1376"/>
      <c r="B118" s="167">
        <f t="shared" si="63"/>
        <v>82</v>
      </c>
      <c r="C118" s="170" t="s">
        <v>366</v>
      </c>
      <c r="D118" s="829"/>
      <c r="E118" s="889" t="s">
        <v>967</v>
      </c>
      <c r="F118" s="844" t="s">
        <v>967</v>
      </c>
      <c r="G118" s="844" t="s">
        <v>967</v>
      </c>
      <c r="H118" s="844" t="s">
        <v>967</v>
      </c>
      <c r="I118" s="356"/>
      <c r="J118" s="183"/>
      <c r="K118" s="171"/>
      <c r="L118" s="1125"/>
      <c r="M118" s="58"/>
      <c r="N118" s="108" t="str">
        <f t="shared" si="62"/>
        <v/>
      </c>
      <c r="O118" s="1343"/>
      <c r="P118" s="1343"/>
      <c r="Q118" s="165"/>
      <c r="R118" s="257"/>
      <c r="T118" s="466" t="s">
        <v>898</v>
      </c>
      <c r="U118" s="497"/>
      <c r="W118" s="500" t="s">
        <v>412</v>
      </c>
      <c r="X118" s="501" t="s">
        <v>412</v>
      </c>
      <c r="Y118" s="501" t="s">
        <v>412</v>
      </c>
      <c r="Z118" s="502" t="s">
        <v>412</v>
      </c>
      <c r="AA118" s="503" t="s">
        <v>412</v>
      </c>
      <c r="AB118" s="501" t="s">
        <v>412</v>
      </c>
      <c r="AC118" s="501" t="s">
        <v>412</v>
      </c>
      <c r="AD118" s="501" t="s">
        <v>412</v>
      </c>
      <c r="AE118" s="504" t="s">
        <v>412</v>
      </c>
      <c r="AF118" s="505" t="s">
        <v>585</v>
      </c>
      <c r="AG118" s="498" t="s">
        <v>888</v>
      </c>
      <c r="AH118" s="499" t="s">
        <v>587</v>
      </c>
    </row>
    <row r="119" spans="1:34" ht="30.65" customHeight="1">
      <c r="A119" s="1376"/>
      <c r="B119" s="167">
        <f t="shared" si="63"/>
        <v>83</v>
      </c>
      <c r="C119" s="170" t="s">
        <v>367</v>
      </c>
      <c r="D119" s="829"/>
      <c r="E119" s="889" t="s">
        <v>967</v>
      </c>
      <c r="F119" s="889" t="s">
        <v>967</v>
      </c>
      <c r="G119" s="889" t="s">
        <v>967</v>
      </c>
      <c r="H119" s="889" t="s">
        <v>967</v>
      </c>
      <c r="I119" s="356"/>
      <c r="J119" s="183"/>
      <c r="K119" s="171"/>
      <c r="L119" s="1125"/>
      <c r="M119" s="58"/>
      <c r="N119" s="108" t="str">
        <f t="shared" si="62"/>
        <v/>
      </c>
      <c r="O119" s="1343"/>
      <c r="P119" s="1343"/>
      <c r="Q119" s="165"/>
      <c r="R119" s="257"/>
      <c r="T119" s="466" t="s">
        <v>900</v>
      </c>
      <c r="U119" s="497"/>
      <c r="W119" s="500"/>
      <c r="X119" s="501"/>
      <c r="Y119" s="501"/>
      <c r="Z119" s="502"/>
      <c r="AA119" s="503"/>
      <c r="AB119" s="501"/>
      <c r="AC119" s="501"/>
      <c r="AD119" s="501"/>
      <c r="AE119" s="504"/>
      <c r="AF119" s="505"/>
      <c r="AG119" s="498"/>
      <c r="AH119" s="499"/>
    </row>
    <row r="120" spans="1:34" ht="30.65" customHeight="1">
      <c r="A120" s="1376"/>
      <c r="B120" s="167">
        <f t="shared" si="63"/>
        <v>84</v>
      </c>
      <c r="C120" s="170" t="s">
        <v>368</v>
      </c>
      <c r="D120" s="829"/>
      <c r="E120" s="841" t="s">
        <v>967</v>
      </c>
      <c r="F120" s="841" t="s">
        <v>967</v>
      </c>
      <c r="G120" s="841" t="s">
        <v>967</v>
      </c>
      <c r="H120" s="841" t="s">
        <v>967</v>
      </c>
      <c r="I120" s="774">
        <v>50000</v>
      </c>
      <c r="J120" s="183"/>
      <c r="K120" s="171" t="s">
        <v>903</v>
      </c>
      <c r="L120" s="1125">
        <v>1</v>
      </c>
      <c r="M120" s="58"/>
      <c r="N120" s="108">
        <f t="shared" si="62"/>
        <v>0</v>
      </c>
      <c r="O120" s="1344"/>
      <c r="P120" s="1343"/>
      <c r="Q120" s="165"/>
      <c r="R120" s="257"/>
      <c r="T120" s="466" t="s">
        <v>904</v>
      </c>
      <c r="U120" s="497" t="s">
        <v>905</v>
      </c>
      <c r="W120" s="500"/>
      <c r="X120" s="501"/>
      <c r="Y120" s="501"/>
      <c r="Z120" s="502"/>
      <c r="AA120" s="503"/>
      <c r="AB120" s="501"/>
      <c r="AC120" s="501"/>
      <c r="AD120" s="501"/>
      <c r="AE120" s="504"/>
      <c r="AF120" s="505"/>
      <c r="AG120" s="498"/>
      <c r="AH120" s="499"/>
    </row>
    <row r="121" spans="1:34">
      <c r="A121" s="1377"/>
      <c r="B121" s="65"/>
      <c r="C121" s="81"/>
      <c r="D121" s="120"/>
      <c r="E121" s="891" t="s">
        <v>967</v>
      </c>
      <c r="F121" s="891" t="s">
        <v>967</v>
      </c>
      <c r="G121" s="891" t="s">
        <v>967</v>
      </c>
      <c r="H121" s="891" t="s">
        <v>967</v>
      </c>
      <c r="I121" s="359">
        <f>SUM(I112:I120)</f>
        <v>94462</v>
      </c>
      <c r="J121" s="139"/>
      <c r="K121" s="442"/>
      <c r="L121" s="440">
        <f>SUM(L112:L120)</f>
        <v>23</v>
      </c>
      <c r="M121" s="443">
        <f>SUM(M112:M120)</f>
        <v>0</v>
      </c>
      <c r="N121" s="444">
        <f>IFERROR(AVERAGE(N112:N120),"")</f>
        <v>0</v>
      </c>
      <c r="O121" s="444">
        <f>IFERROR(AVERAGE(N112:N120),"")</f>
        <v>0</v>
      </c>
      <c r="P121" s="1343"/>
      <c r="Q121" s="352">
        <f>SUM(Q112:Q120)</f>
        <v>0</v>
      </c>
      <c r="R121" s="70">
        <f>SUM(R112:R120)</f>
        <v>0</v>
      </c>
      <c r="T121" s="68"/>
      <c r="U121" s="469"/>
      <c r="W121" s="478"/>
      <c r="X121" s="67"/>
      <c r="Y121" s="67"/>
      <c r="Z121" s="67"/>
      <c r="AA121" s="67"/>
      <c r="AB121" s="67"/>
      <c r="AC121" s="67"/>
      <c r="AD121" s="67"/>
      <c r="AE121" s="67"/>
      <c r="AF121" s="67"/>
      <c r="AG121" s="67"/>
      <c r="AH121" s="467"/>
    </row>
    <row r="122" spans="1:34" ht="30.65" customHeight="1">
      <c r="A122" s="360" t="s">
        <v>370</v>
      </c>
      <c r="B122" s="361"/>
      <c r="C122" s="361"/>
      <c r="D122" s="822"/>
      <c r="E122" s="842" t="s">
        <v>248</v>
      </c>
      <c r="F122" s="842" t="s">
        <v>249</v>
      </c>
      <c r="G122" s="842" t="s">
        <v>250</v>
      </c>
      <c r="H122" s="842" t="s">
        <v>251</v>
      </c>
      <c r="I122" s="835">
        <f t="shared" ref="I122" si="64">I130</f>
        <v>33751</v>
      </c>
      <c r="J122" s="366"/>
      <c r="K122" s="367"/>
      <c r="L122" s="368"/>
      <c r="M122" s="369"/>
      <c r="N122" s="370"/>
      <c r="O122" s="371"/>
      <c r="P122" s="1343"/>
      <c r="Q122" s="373">
        <f t="shared" ref="Q122:R122" si="65">Q130</f>
        <v>0</v>
      </c>
      <c r="R122" s="374">
        <f t="shared" si="65"/>
        <v>0</v>
      </c>
      <c r="T122" s="464" t="s">
        <v>907</v>
      </c>
      <c r="U122" s="465"/>
      <c r="W122" s="464" t="s">
        <v>907</v>
      </c>
      <c r="X122" s="458"/>
      <c r="Y122" s="458"/>
      <c r="Z122" s="458"/>
      <c r="AA122" s="458"/>
      <c r="AB122" s="458"/>
      <c r="AC122" s="458"/>
      <c r="AD122" s="458"/>
      <c r="AE122" s="458"/>
      <c r="AF122" s="458"/>
      <c r="AG122" s="458"/>
      <c r="AH122" s="465"/>
    </row>
    <row r="123" spans="1:34" ht="30.65" customHeight="1">
      <c r="A123" s="1382" t="s">
        <v>1119</v>
      </c>
      <c r="B123" s="167">
        <f>B120+1</f>
        <v>85</v>
      </c>
      <c r="C123" s="170" t="s">
        <v>372</v>
      </c>
      <c r="D123" s="828" t="s">
        <v>78</v>
      </c>
      <c r="E123" s="889" t="s">
        <v>967</v>
      </c>
      <c r="F123" s="889" t="s">
        <v>967</v>
      </c>
      <c r="G123" s="889" t="s">
        <v>967</v>
      </c>
      <c r="H123" s="889" t="s">
        <v>967</v>
      </c>
      <c r="I123" s="356"/>
      <c r="J123" s="182"/>
      <c r="K123" s="171"/>
      <c r="L123" s="1125"/>
      <c r="M123" s="58"/>
      <c r="N123" s="108" t="str">
        <f t="shared" ref="N123:N129" si="66">IF(L123,MIN(1,M123/L123),"")</f>
        <v/>
      </c>
      <c r="O123" s="1345"/>
      <c r="P123" s="1343"/>
      <c r="Q123" s="165"/>
      <c r="R123" s="257"/>
      <c r="T123" s="466" t="s">
        <v>908</v>
      </c>
      <c r="U123" s="497"/>
      <c r="W123" s="500"/>
      <c r="X123" s="501"/>
      <c r="Y123" s="501"/>
      <c r="Z123" s="502"/>
      <c r="AA123" s="503"/>
      <c r="AB123" s="501"/>
      <c r="AC123" s="501"/>
      <c r="AD123" s="501"/>
      <c r="AE123" s="504"/>
      <c r="AF123" s="505"/>
      <c r="AG123" s="498"/>
      <c r="AH123" s="499"/>
    </row>
    <row r="124" spans="1:34" ht="30.65" customHeight="1">
      <c r="A124" s="1302"/>
      <c r="B124" s="167">
        <f>B123+1</f>
        <v>86</v>
      </c>
      <c r="C124" s="170" t="s">
        <v>373</v>
      </c>
      <c r="D124" s="829" t="s">
        <v>595</v>
      </c>
      <c r="E124" s="889" t="s">
        <v>967</v>
      </c>
      <c r="F124" s="841" t="s">
        <v>967</v>
      </c>
      <c r="G124" s="841" t="s">
        <v>967</v>
      </c>
      <c r="H124" s="841" t="s">
        <v>967</v>
      </c>
      <c r="I124" s="774">
        <v>15385</v>
      </c>
      <c r="J124" s="183"/>
      <c r="K124" s="171" t="s">
        <v>909</v>
      </c>
      <c r="L124" s="1125">
        <v>1</v>
      </c>
      <c r="M124" s="58"/>
      <c r="N124" s="108">
        <f t="shared" si="66"/>
        <v>0</v>
      </c>
      <c r="O124" s="1305"/>
      <c r="P124" s="1343"/>
      <c r="Q124" s="165"/>
      <c r="R124" s="257"/>
      <c r="T124" s="466" t="s">
        <v>910</v>
      </c>
      <c r="U124" s="497" t="s">
        <v>1120</v>
      </c>
      <c r="W124" s="500" t="s">
        <v>412</v>
      </c>
      <c r="X124" s="501" t="s">
        <v>412</v>
      </c>
      <c r="Y124" s="501" t="s">
        <v>912</v>
      </c>
      <c r="Z124" s="502" t="s">
        <v>913</v>
      </c>
      <c r="AA124" s="503" t="s">
        <v>914</v>
      </c>
      <c r="AB124" s="501" t="s">
        <v>915</v>
      </c>
      <c r="AC124" s="501" t="s">
        <v>412</v>
      </c>
      <c r="AD124" s="501" t="s">
        <v>412</v>
      </c>
      <c r="AE124" s="504" t="s">
        <v>412</v>
      </c>
      <c r="AF124" s="505" t="s">
        <v>746</v>
      </c>
      <c r="AG124" s="498" t="s">
        <v>1024</v>
      </c>
      <c r="AH124" s="499" t="s">
        <v>587</v>
      </c>
    </row>
    <row r="125" spans="1:34" ht="30.65" customHeight="1">
      <c r="A125" s="1302"/>
      <c r="B125" s="167">
        <f t="shared" ref="B125:B129" si="67">B124+1</f>
        <v>87</v>
      </c>
      <c r="C125" s="170" t="s">
        <v>374</v>
      </c>
      <c r="D125" s="829" t="s">
        <v>78</v>
      </c>
      <c r="E125" s="889" t="s">
        <v>967</v>
      </c>
      <c r="F125" s="841" t="s">
        <v>967</v>
      </c>
      <c r="G125" s="841" t="s">
        <v>967</v>
      </c>
      <c r="H125" s="841" t="s">
        <v>967</v>
      </c>
      <c r="I125" s="774">
        <v>8957</v>
      </c>
      <c r="J125" s="183"/>
      <c r="K125" s="171" t="s">
        <v>917</v>
      </c>
      <c r="L125" s="1125">
        <v>1</v>
      </c>
      <c r="M125" s="58"/>
      <c r="N125" s="108">
        <f t="shared" si="66"/>
        <v>0</v>
      </c>
      <c r="O125" s="1305"/>
      <c r="P125" s="1343"/>
      <c r="Q125" s="165"/>
      <c r="R125" s="257"/>
      <c r="T125" s="466" t="s">
        <v>918</v>
      </c>
      <c r="U125" s="497" t="s">
        <v>1121</v>
      </c>
      <c r="W125" s="500" t="s">
        <v>412</v>
      </c>
      <c r="X125" s="501" t="s">
        <v>412</v>
      </c>
      <c r="Y125" s="501" t="s">
        <v>412</v>
      </c>
      <c r="Z125" s="502" t="s">
        <v>412</v>
      </c>
      <c r="AA125" s="503" t="s">
        <v>412</v>
      </c>
      <c r="AB125" s="501" t="s">
        <v>412</v>
      </c>
      <c r="AC125" s="501" t="s">
        <v>412</v>
      </c>
      <c r="AD125" s="501" t="s">
        <v>412</v>
      </c>
      <c r="AE125" s="504" t="s">
        <v>412</v>
      </c>
      <c r="AF125" s="505" t="s">
        <v>746</v>
      </c>
      <c r="AG125" s="498" t="s">
        <v>1024</v>
      </c>
      <c r="AH125" s="499" t="s">
        <v>587</v>
      </c>
    </row>
    <row r="126" spans="1:34" ht="30.65" customHeight="1">
      <c r="A126" s="1302"/>
      <c r="B126" s="167">
        <f t="shared" si="67"/>
        <v>88</v>
      </c>
      <c r="C126" s="170" t="s">
        <v>375</v>
      </c>
      <c r="D126" s="829" t="s">
        <v>78</v>
      </c>
      <c r="E126" s="844" t="s">
        <v>967</v>
      </c>
      <c r="F126" s="841" t="s">
        <v>967</v>
      </c>
      <c r="G126" s="841" t="s">
        <v>967</v>
      </c>
      <c r="H126" s="841" t="s">
        <v>967</v>
      </c>
      <c r="I126" s="356">
        <v>0</v>
      </c>
      <c r="J126" s="183"/>
      <c r="K126" s="171" t="s">
        <v>1122</v>
      </c>
      <c r="L126" s="1125">
        <v>2</v>
      </c>
      <c r="M126" s="58"/>
      <c r="N126" s="108">
        <f t="shared" si="66"/>
        <v>0</v>
      </c>
      <c r="O126" s="1305"/>
      <c r="P126" s="1343"/>
      <c r="Q126" s="165"/>
      <c r="R126" s="257"/>
      <c r="T126" s="466" t="s">
        <v>921</v>
      </c>
      <c r="U126" s="497" t="s">
        <v>1123</v>
      </c>
      <c r="W126" s="500" t="s">
        <v>412</v>
      </c>
      <c r="X126" s="501" t="s">
        <v>412</v>
      </c>
      <c r="Y126" s="501" t="s">
        <v>412</v>
      </c>
      <c r="Z126" s="502" t="s">
        <v>412</v>
      </c>
      <c r="AA126" s="503" t="s">
        <v>412</v>
      </c>
      <c r="AB126" s="501" t="s">
        <v>412</v>
      </c>
      <c r="AC126" s="501" t="s">
        <v>412</v>
      </c>
      <c r="AD126" s="501" t="s">
        <v>412</v>
      </c>
      <c r="AE126" s="504" t="s">
        <v>412</v>
      </c>
      <c r="AF126" s="505" t="s">
        <v>746</v>
      </c>
      <c r="AG126" s="498" t="s">
        <v>1025</v>
      </c>
      <c r="AH126" s="499" t="s">
        <v>587</v>
      </c>
    </row>
    <row r="127" spans="1:34" ht="30.65" customHeight="1">
      <c r="A127" s="1302"/>
      <c r="B127" s="167">
        <f t="shared" si="67"/>
        <v>89</v>
      </c>
      <c r="C127" s="170" t="s">
        <v>376</v>
      </c>
      <c r="D127" s="829" t="s">
        <v>78</v>
      </c>
      <c r="E127" s="889" t="s">
        <v>967</v>
      </c>
      <c r="F127" s="889" t="s">
        <v>967</v>
      </c>
      <c r="G127" s="889" t="s">
        <v>967</v>
      </c>
      <c r="H127" s="889" t="s">
        <v>967</v>
      </c>
      <c r="I127" s="356"/>
      <c r="J127" s="183"/>
      <c r="K127" s="171"/>
      <c r="L127" s="1125"/>
      <c r="M127" s="58"/>
      <c r="N127" s="108" t="str">
        <f t="shared" si="66"/>
        <v/>
      </c>
      <c r="O127" s="1305"/>
      <c r="P127" s="1343"/>
      <c r="Q127" s="165"/>
      <c r="R127" s="257"/>
      <c r="T127" s="466" t="s">
        <v>924</v>
      </c>
      <c r="U127" s="497"/>
      <c r="W127" s="500" t="s">
        <v>412</v>
      </c>
      <c r="X127" s="501" t="s">
        <v>412</v>
      </c>
      <c r="Y127" s="501" t="s">
        <v>412</v>
      </c>
      <c r="Z127" s="502" t="s">
        <v>412</v>
      </c>
      <c r="AA127" s="503" t="s">
        <v>412</v>
      </c>
      <c r="AB127" s="501" t="s">
        <v>412</v>
      </c>
      <c r="AC127" s="501" t="s">
        <v>412</v>
      </c>
      <c r="AD127" s="501" t="s">
        <v>412</v>
      </c>
      <c r="AE127" s="504" t="s">
        <v>412</v>
      </c>
      <c r="AF127" s="505" t="s">
        <v>746</v>
      </c>
      <c r="AG127" s="498" t="s">
        <v>1026</v>
      </c>
      <c r="AH127" s="499" t="s">
        <v>587</v>
      </c>
    </row>
    <row r="128" spans="1:34" ht="30.65" customHeight="1">
      <c r="A128" s="1302"/>
      <c r="B128" s="167">
        <f t="shared" si="67"/>
        <v>90</v>
      </c>
      <c r="C128" s="170" t="s">
        <v>377</v>
      </c>
      <c r="D128" s="829" t="s">
        <v>595</v>
      </c>
      <c r="E128" s="841" t="s">
        <v>967</v>
      </c>
      <c r="F128" s="841" t="s">
        <v>967</v>
      </c>
      <c r="G128" s="841" t="s">
        <v>967</v>
      </c>
      <c r="H128" s="841" t="s">
        <v>967</v>
      </c>
      <c r="I128" s="774">
        <v>9409</v>
      </c>
      <c r="J128" s="183"/>
      <c r="K128" s="171" t="s">
        <v>608</v>
      </c>
      <c r="L128" s="1125">
        <v>12</v>
      </c>
      <c r="M128" s="58"/>
      <c r="N128" s="108">
        <f t="shared" si="66"/>
        <v>0</v>
      </c>
      <c r="O128" s="1305"/>
      <c r="P128" s="1343"/>
      <c r="Q128" s="165"/>
      <c r="R128" s="257"/>
      <c r="T128" s="466" t="s">
        <v>926</v>
      </c>
      <c r="U128" s="497" t="s">
        <v>927</v>
      </c>
      <c r="W128" s="500" t="s">
        <v>412</v>
      </c>
      <c r="X128" s="501" t="s">
        <v>412</v>
      </c>
      <c r="Y128" s="501" t="s">
        <v>412</v>
      </c>
      <c r="Z128" s="502" t="s">
        <v>412</v>
      </c>
      <c r="AA128" s="503" t="s">
        <v>412</v>
      </c>
      <c r="AB128" s="501" t="s">
        <v>412</v>
      </c>
      <c r="AC128" s="501" t="s">
        <v>412</v>
      </c>
      <c r="AD128" s="501" t="s">
        <v>412</v>
      </c>
      <c r="AE128" s="504" t="s">
        <v>412</v>
      </c>
      <c r="AF128" s="505" t="s">
        <v>746</v>
      </c>
      <c r="AG128" s="498" t="s">
        <v>1027</v>
      </c>
      <c r="AH128" s="499" t="s">
        <v>587</v>
      </c>
    </row>
    <row r="129" spans="1:34" ht="30.65" customHeight="1">
      <c r="A129" s="1302"/>
      <c r="B129" s="167">
        <f t="shared" si="67"/>
        <v>91</v>
      </c>
      <c r="C129" s="170" t="s">
        <v>378</v>
      </c>
      <c r="D129" s="829" t="s">
        <v>78</v>
      </c>
      <c r="E129" s="889" t="s">
        <v>967</v>
      </c>
      <c r="F129" s="889" t="s">
        <v>967</v>
      </c>
      <c r="G129" s="889" t="s">
        <v>967</v>
      </c>
      <c r="H129" s="889" t="s">
        <v>967</v>
      </c>
      <c r="I129" s="356"/>
      <c r="J129" s="183"/>
      <c r="K129" s="171"/>
      <c r="L129" s="1125"/>
      <c r="M129" s="58"/>
      <c r="N129" s="108" t="str">
        <f t="shared" si="66"/>
        <v/>
      </c>
      <c r="O129" s="1346"/>
      <c r="P129" s="1344"/>
      <c r="Q129" s="165"/>
      <c r="R129" s="257"/>
      <c r="T129" s="466" t="s">
        <v>928</v>
      </c>
      <c r="U129" s="497"/>
      <c r="W129" s="500"/>
      <c r="X129" s="501"/>
      <c r="Y129" s="501"/>
      <c r="Z129" s="502"/>
      <c r="AA129" s="503"/>
      <c r="AB129" s="501"/>
      <c r="AC129" s="501"/>
      <c r="AD129" s="501"/>
      <c r="AE129" s="504"/>
      <c r="AF129" s="505"/>
      <c r="AG129" s="498"/>
      <c r="AH129" s="499"/>
    </row>
    <row r="130" spans="1:34">
      <c r="A130" s="1355"/>
      <c r="B130" s="65"/>
      <c r="C130" s="81"/>
      <c r="D130" s="120"/>
      <c r="E130" s="891" t="s">
        <v>967</v>
      </c>
      <c r="F130" s="891" t="s">
        <v>967</v>
      </c>
      <c r="G130" s="891" t="s">
        <v>967</v>
      </c>
      <c r="H130" s="891" t="s">
        <v>967</v>
      </c>
      <c r="I130" s="359">
        <f>SUM(I123:I129)</f>
        <v>33751</v>
      </c>
      <c r="J130" s="139"/>
      <c r="K130" s="442"/>
      <c r="L130" s="440">
        <f>SUM(L123:L129)</f>
        <v>16</v>
      </c>
      <c r="M130" s="443">
        <f>SUM(M123:M129)</f>
        <v>0</v>
      </c>
      <c r="N130" s="444">
        <f>IFERROR(AVERAGE(N123:N129),"")</f>
        <v>0</v>
      </c>
      <c r="O130" s="444">
        <f>IFERROR(AVERAGE(N123:N129),"")</f>
        <v>0</v>
      </c>
      <c r="P130" s="444">
        <f>IFERROR(AVERAGE(N101:N103,N105:N109,N112:N120,N123:N129),"")</f>
        <v>0</v>
      </c>
      <c r="Q130" s="352">
        <f>SUM(Q123:Q129)</f>
        <v>0</v>
      </c>
      <c r="R130" s="70">
        <f>SUM(R123:R129)</f>
        <v>0</v>
      </c>
      <c r="T130" s="487"/>
      <c r="U130" s="488"/>
      <c r="W130" s="481"/>
      <c r="X130" s="482"/>
      <c r="Y130" s="482"/>
      <c r="Z130" s="482"/>
      <c r="AA130" s="482"/>
      <c r="AB130" s="482"/>
      <c r="AC130" s="482"/>
      <c r="AD130" s="482"/>
      <c r="AE130" s="482"/>
      <c r="AF130" s="482"/>
      <c r="AG130" s="482"/>
      <c r="AH130" s="483"/>
    </row>
    <row r="131" spans="1:34" ht="36.75" customHeight="1">
      <c r="A131" s="83" t="s">
        <v>379</v>
      </c>
      <c r="B131" s="83"/>
      <c r="C131" s="84"/>
      <c r="D131" s="84"/>
      <c r="E131" s="846" t="s">
        <v>967</v>
      </c>
      <c r="F131" s="846" t="s">
        <v>967</v>
      </c>
      <c r="G131" s="846" t="s">
        <v>967</v>
      </c>
      <c r="H131" s="846" t="s">
        <v>967</v>
      </c>
      <c r="I131" s="445">
        <f>I132+I150+I170</f>
        <v>383825</v>
      </c>
      <c r="J131" s="136"/>
      <c r="K131" s="114"/>
      <c r="L131" s="89"/>
      <c r="M131" s="90"/>
      <c r="N131" s="88"/>
      <c r="O131" s="88"/>
      <c r="P131" s="91"/>
      <c r="Q131" s="349">
        <f>Q132+Q150+Q170</f>
        <v>0</v>
      </c>
      <c r="R131" s="82">
        <f>R132+R150+R170</f>
        <v>0</v>
      </c>
    </row>
    <row r="132" spans="1:34" ht="30.65" customHeight="1">
      <c r="A132" s="277" t="s">
        <v>380</v>
      </c>
      <c r="B132" s="278"/>
      <c r="C132" s="278"/>
      <c r="D132" s="833"/>
      <c r="E132" s="847" t="s">
        <v>248</v>
      </c>
      <c r="F132" s="847" t="s">
        <v>249</v>
      </c>
      <c r="G132" s="847" t="s">
        <v>250</v>
      </c>
      <c r="H132" s="847" t="s">
        <v>251</v>
      </c>
      <c r="I132" s="837">
        <f>I149</f>
        <v>55775</v>
      </c>
      <c r="J132" s="254"/>
      <c r="K132" s="259"/>
      <c r="L132" s="261"/>
      <c r="M132" s="262"/>
      <c r="N132" s="255"/>
      <c r="O132" s="282"/>
      <c r="P132" s="283"/>
      <c r="Q132" s="351">
        <f t="shared" ref="Q132:R132" si="68">Q149</f>
        <v>0</v>
      </c>
      <c r="R132" s="256">
        <f t="shared" si="68"/>
        <v>0</v>
      </c>
    </row>
    <row r="133" spans="1:34" ht="30.65" customHeight="1">
      <c r="A133" s="1349" t="s">
        <v>381</v>
      </c>
      <c r="B133" s="167" t="s">
        <v>382</v>
      </c>
      <c r="C133" s="185" t="s">
        <v>538</v>
      </c>
      <c r="D133" s="834" t="s">
        <v>78</v>
      </c>
      <c r="E133" s="841" t="s">
        <v>967</v>
      </c>
      <c r="F133" s="841" t="s">
        <v>967</v>
      </c>
      <c r="G133" s="841" t="s">
        <v>967</v>
      </c>
      <c r="H133" s="841" t="s">
        <v>967</v>
      </c>
      <c r="I133" s="774">
        <v>5500</v>
      </c>
      <c r="J133" s="182"/>
      <c r="K133" s="1127" t="s">
        <v>608</v>
      </c>
      <c r="L133" s="1128">
        <v>12</v>
      </c>
      <c r="M133" s="58"/>
      <c r="N133" s="307"/>
      <c r="O133" s="307"/>
      <c r="P133" s="307"/>
      <c r="Q133" s="263"/>
      <c r="R133" s="1129"/>
    </row>
    <row r="134" spans="1:34" ht="30.65" customHeight="1">
      <c r="A134" s="1350"/>
      <c r="B134" s="167" t="s">
        <v>382</v>
      </c>
      <c r="C134" s="185" t="s">
        <v>929</v>
      </c>
      <c r="D134" s="834" t="s">
        <v>78</v>
      </c>
      <c r="E134" s="841" t="s">
        <v>967</v>
      </c>
      <c r="F134" s="841" t="s">
        <v>967</v>
      </c>
      <c r="G134" s="841" t="s">
        <v>967</v>
      </c>
      <c r="H134" s="841" t="s">
        <v>967</v>
      </c>
      <c r="I134" s="774">
        <v>1500</v>
      </c>
      <c r="J134" s="183"/>
      <c r="K134" s="1127" t="s">
        <v>608</v>
      </c>
      <c r="L134" s="1128">
        <v>12</v>
      </c>
      <c r="M134" s="58"/>
      <c r="N134" s="307"/>
      <c r="O134" s="307"/>
      <c r="P134" s="307"/>
      <c r="Q134" s="263"/>
      <c r="R134" s="1129"/>
    </row>
    <row r="135" spans="1:34" ht="30.65" customHeight="1">
      <c r="A135" s="1350"/>
      <c r="B135" s="167" t="s">
        <v>382</v>
      </c>
      <c r="C135" s="185" t="s">
        <v>930</v>
      </c>
      <c r="D135" s="834" t="s">
        <v>78</v>
      </c>
      <c r="E135" s="841" t="s">
        <v>967</v>
      </c>
      <c r="F135" s="841" t="s">
        <v>967</v>
      </c>
      <c r="G135" s="841" t="s">
        <v>967</v>
      </c>
      <c r="H135" s="841" t="s">
        <v>967</v>
      </c>
      <c r="I135" s="774">
        <v>1400</v>
      </c>
      <c r="J135" s="183"/>
      <c r="K135" s="1127" t="s">
        <v>931</v>
      </c>
      <c r="L135" s="1128">
        <v>2</v>
      </c>
      <c r="M135" s="58"/>
      <c r="N135" s="307"/>
      <c r="O135" s="307"/>
      <c r="P135" s="307"/>
      <c r="Q135" s="263"/>
      <c r="R135" s="1129"/>
    </row>
    <row r="136" spans="1:34" ht="30.65" customHeight="1">
      <c r="A136" s="1350"/>
      <c r="B136" s="167" t="s">
        <v>382</v>
      </c>
      <c r="C136" s="185" t="s">
        <v>384</v>
      </c>
      <c r="D136" s="834" t="s">
        <v>78</v>
      </c>
      <c r="E136" s="841" t="s">
        <v>967</v>
      </c>
      <c r="F136" s="841" t="s">
        <v>967</v>
      </c>
      <c r="G136" s="841" t="s">
        <v>967</v>
      </c>
      <c r="H136" s="841" t="s">
        <v>967</v>
      </c>
      <c r="I136" s="774">
        <v>4000</v>
      </c>
      <c r="J136" s="183"/>
      <c r="K136" s="1127" t="s">
        <v>608</v>
      </c>
      <c r="L136" s="1128">
        <v>12</v>
      </c>
      <c r="M136" s="58"/>
      <c r="N136" s="307"/>
      <c r="O136" s="307"/>
      <c r="P136" s="307"/>
      <c r="Q136" s="263"/>
      <c r="R136" s="1129"/>
    </row>
    <row r="137" spans="1:34" ht="30.65" customHeight="1">
      <c r="A137" s="1350"/>
      <c r="B137" s="167" t="s">
        <v>382</v>
      </c>
      <c r="C137" s="185" t="s">
        <v>385</v>
      </c>
      <c r="D137" s="834" t="s">
        <v>78</v>
      </c>
      <c r="E137" s="841" t="s">
        <v>967</v>
      </c>
      <c r="F137" s="841" t="s">
        <v>967</v>
      </c>
      <c r="G137" s="841" t="s">
        <v>967</v>
      </c>
      <c r="H137" s="841" t="s">
        <v>967</v>
      </c>
      <c r="I137" s="774">
        <v>900</v>
      </c>
      <c r="J137" s="183"/>
      <c r="K137" s="1127" t="s">
        <v>608</v>
      </c>
      <c r="L137" s="1128">
        <v>12</v>
      </c>
      <c r="M137" s="58"/>
      <c r="N137" s="307"/>
      <c r="O137" s="307"/>
      <c r="P137" s="307"/>
      <c r="Q137" s="263"/>
      <c r="R137" s="1129"/>
    </row>
    <row r="138" spans="1:34" ht="30.65" customHeight="1">
      <c r="A138" s="1350"/>
      <c r="B138" s="167" t="s">
        <v>382</v>
      </c>
      <c r="C138" s="185" t="s">
        <v>386</v>
      </c>
      <c r="D138" s="834" t="s">
        <v>78</v>
      </c>
      <c r="E138" s="841" t="s">
        <v>967</v>
      </c>
      <c r="F138" s="841" t="s">
        <v>967</v>
      </c>
      <c r="G138" s="841" t="s">
        <v>967</v>
      </c>
      <c r="H138" s="841" t="s">
        <v>967</v>
      </c>
      <c r="I138" s="774">
        <v>3000</v>
      </c>
      <c r="J138" s="183"/>
      <c r="K138" s="1127" t="s">
        <v>608</v>
      </c>
      <c r="L138" s="1128">
        <v>12</v>
      </c>
      <c r="M138" s="58"/>
      <c r="N138" s="307"/>
      <c r="O138" s="307"/>
      <c r="P138" s="307"/>
      <c r="Q138" s="263"/>
      <c r="R138" s="1129"/>
    </row>
    <row r="139" spans="1:34" ht="30.65" customHeight="1">
      <c r="A139" s="1350"/>
      <c r="B139" s="167" t="s">
        <v>382</v>
      </c>
      <c r="C139" s="185" t="s">
        <v>387</v>
      </c>
      <c r="D139" s="834" t="s">
        <v>78</v>
      </c>
      <c r="E139" s="841" t="s">
        <v>967</v>
      </c>
      <c r="F139" s="841" t="s">
        <v>967</v>
      </c>
      <c r="G139" s="841" t="s">
        <v>967</v>
      </c>
      <c r="H139" s="841" t="s">
        <v>967</v>
      </c>
      <c r="I139" s="774">
        <v>7500</v>
      </c>
      <c r="J139" s="183"/>
      <c r="K139" s="1127" t="s">
        <v>608</v>
      </c>
      <c r="L139" s="1128">
        <v>12</v>
      </c>
      <c r="M139" s="58"/>
      <c r="N139" s="307"/>
      <c r="O139" s="307"/>
      <c r="P139" s="307"/>
      <c r="Q139" s="263"/>
      <c r="R139" s="1129"/>
    </row>
    <row r="140" spans="1:34" ht="30.65" customHeight="1">
      <c r="A140" s="1350"/>
      <c r="B140" s="167" t="s">
        <v>382</v>
      </c>
      <c r="C140" s="185" t="s">
        <v>932</v>
      </c>
      <c r="D140" s="834" t="s">
        <v>78</v>
      </c>
      <c r="E140" s="841" t="s">
        <v>967</v>
      </c>
      <c r="F140" s="841" t="s">
        <v>967</v>
      </c>
      <c r="G140" s="841" t="s">
        <v>967</v>
      </c>
      <c r="H140" s="841" t="s">
        <v>967</v>
      </c>
      <c r="I140" s="774">
        <v>2000</v>
      </c>
      <c r="J140" s="183"/>
      <c r="K140" s="1127" t="s">
        <v>536</v>
      </c>
      <c r="L140" s="1128">
        <v>1</v>
      </c>
      <c r="M140" s="58"/>
      <c r="N140" s="307"/>
      <c r="O140" s="307"/>
      <c r="P140" s="307"/>
      <c r="Q140" s="263"/>
      <c r="R140" s="1129"/>
    </row>
    <row r="141" spans="1:34" ht="30.65" customHeight="1">
      <c r="A141" s="1350"/>
      <c r="B141" s="167" t="s">
        <v>382</v>
      </c>
      <c r="C141" s="185" t="s">
        <v>388</v>
      </c>
      <c r="D141" s="834" t="s">
        <v>78</v>
      </c>
      <c r="E141" s="841" t="s">
        <v>967</v>
      </c>
      <c r="F141" s="841" t="s">
        <v>967</v>
      </c>
      <c r="G141" s="841" t="s">
        <v>967</v>
      </c>
      <c r="H141" s="841" t="s">
        <v>967</v>
      </c>
      <c r="I141" s="774">
        <v>700</v>
      </c>
      <c r="J141" s="183"/>
      <c r="K141" s="1127" t="s">
        <v>608</v>
      </c>
      <c r="L141" s="1128">
        <v>12</v>
      </c>
      <c r="M141" s="58"/>
      <c r="N141" s="307"/>
      <c r="O141" s="307"/>
      <c r="P141" s="307"/>
      <c r="Q141" s="263"/>
      <c r="R141" s="1129"/>
    </row>
    <row r="142" spans="1:34" ht="30.65" customHeight="1">
      <c r="A142" s="1350"/>
      <c r="B142" s="167" t="s">
        <v>382</v>
      </c>
      <c r="C142" s="185" t="s">
        <v>389</v>
      </c>
      <c r="D142" s="834" t="s">
        <v>78</v>
      </c>
      <c r="E142" s="841" t="s">
        <v>967</v>
      </c>
      <c r="F142" s="841" t="s">
        <v>967</v>
      </c>
      <c r="G142" s="841" t="s">
        <v>967</v>
      </c>
      <c r="H142" s="841" t="s">
        <v>967</v>
      </c>
      <c r="I142" s="774">
        <v>950</v>
      </c>
      <c r="J142" s="183"/>
      <c r="K142" s="1127" t="s">
        <v>608</v>
      </c>
      <c r="L142" s="1128">
        <v>12</v>
      </c>
      <c r="M142" s="58"/>
      <c r="N142" s="307"/>
      <c r="O142" s="307"/>
      <c r="P142" s="307"/>
      <c r="Q142" s="263"/>
      <c r="R142" s="1129"/>
    </row>
    <row r="143" spans="1:34" ht="30.65" customHeight="1">
      <c r="A143" s="1350"/>
      <c r="B143" s="167" t="s">
        <v>382</v>
      </c>
      <c r="C143" s="185" t="s">
        <v>390</v>
      </c>
      <c r="D143" s="834" t="s">
        <v>78</v>
      </c>
      <c r="E143" s="841" t="s">
        <v>967</v>
      </c>
      <c r="F143" s="841" t="s">
        <v>967</v>
      </c>
      <c r="G143" s="841" t="s">
        <v>967</v>
      </c>
      <c r="H143" s="841" t="s">
        <v>967</v>
      </c>
      <c r="I143" s="774">
        <v>2850</v>
      </c>
      <c r="J143" s="183"/>
      <c r="K143" s="1127" t="s">
        <v>608</v>
      </c>
      <c r="L143" s="1128">
        <v>12</v>
      </c>
      <c r="M143" s="58"/>
      <c r="N143" s="307"/>
      <c r="O143" s="307"/>
      <c r="P143" s="307"/>
      <c r="Q143" s="263"/>
      <c r="R143" s="1129"/>
    </row>
    <row r="144" spans="1:34" ht="30.65" customHeight="1">
      <c r="A144" s="1350"/>
      <c r="B144" s="167" t="s">
        <v>382</v>
      </c>
      <c r="C144" s="185" t="s">
        <v>391</v>
      </c>
      <c r="D144" s="834" t="s">
        <v>78</v>
      </c>
      <c r="E144" s="841" t="s">
        <v>967</v>
      </c>
      <c r="F144" s="841" t="s">
        <v>967</v>
      </c>
      <c r="G144" s="841" t="s">
        <v>967</v>
      </c>
      <c r="H144" s="841" t="s">
        <v>967</v>
      </c>
      <c r="I144" s="774">
        <v>7000</v>
      </c>
      <c r="J144" s="183"/>
      <c r="K144" s="1127" t="s">
        <v>608</v>
      </c>
      <c r="L144" s="1128">
        <v>12</v>
      </c>
      <c r="M144" s="58"/>
      <c r="N144" s="307"/>
      <c r="O144" s="307"/>
      <c r="P144" s="307"/>
      <c r="Q144" s="263"/>
      <c r="R144" s="1129"/>
    </row>
    <row r="145" spans="1:18" ht="30.65" customHeight="1">
      <c r="A145" s="1380"/>
      <c r="B145" s="167" t="s">
        <v>382</v>
      </c>
      <c r="C145" s="185" t="s">
        <v>392</v>
      </c>
      <c r="D145" s="834" t="s">
        <v>78</v>
      </c>
      <c r="E145" s="841" t="s">
        <v>967</v>
      </c>
      <c r="F145" s="841" t="s">
        <v>967</v>
      </c>
      <c r="G145" s="841" t="s">
        <v>967</v>
      </c>
      <c r="H145" s="841" t="s">
        <v>967</v>
      </c>
      <c r="I145" s="774">
        <v>10000</v>
      </c>
      <c r="J145" s="183"/>
      <c r="K145" s="1127" t="s">
        <v>608</v>
      </c>
      <c r="L145" s="1128">
        <v>12</v>
      </c>
      <c r="M145" s="58"/>
      <c r="N145" s="307"/>
      <c r="O145" s="307"/>
      <c r="P145" s="307"/>
      <c r="Q145" s="263"/>
      <c r="R145" s="1129"/>
    </row>
    <row r="146" spans="1:18" ht="30.65" customHeight="1">
      <c r="A146" s="1350"/>
      <c r="B146" s="167" t="s">
        <v>382</v>
      </c>
      <c r="C146" s="185" t="s">
        <v>393</v>
      </c>
      <c r="D146" s="834" t="s">
        <v>78</v>
      </c>
      <c r="E146" s="841" t="s">
        <v>967</v>
      </c>
      <c r="F146" s="841" t="s">
        <v>967</v>
      </c>
      <c r="G146" s="841" t="s">
        <v>967</v>
      </c>
      <c r="H146" s="841" t="s">
        <v>967</v>
      </c>
      <c r="I146" s="774">
        <v>3906</v>
      </c>
      <c r="J146" s="183"/>
      <c r="K146" s="1127" t="s">
        <v>933</v>
      </c>
      <c r="L146" s="1128">
        <v>1</v>
      </c>
      <c r="M146" s="437"/>
      <c r="N146" s="307"/>
      <c r="O146" s="307"/>
      <c r="P146" s="438"/>
      <c r="Q146" s="263"/>
      <c r="R146" s="1142"/>
    </row>
    <row r="147" spans="1:18" ht="30.65" customHeight="1">
      <c r="A147" s="1350"/>
      <c r="B147" s="167" t="s">
        <v>382</v>
      </c>
      <c r="C147" s="187" t="s">
        <v>394</v>
      </c>
      <c r="D147" s="834" t="s">
        <v>78</v>
      </c>
      <c r="E147" s="841" t="s">
        <v>967</v>
      </c>
      <c r="F147" s="841" t="s">
        <v>967</v>
      </c>
      <c r="G147" s="841" t="s">
        <v>967</v>
      </c>
      <c r="H147" s="841" t="s">
        <v>967</v>
      </c>
      <c r="I147" s="774">
        <v>100</v>
      </c>
      <c r="J147" s="183"/>
      <c r="K147" s="1127" t="s">
        <v>608</v>
      </c>
      <c r="L147" s="1128">
        <v>12</v>
      </c>
      <c r="M147" s="437"/>
      <c r="N147" s="307"/>
      <c r="O147" s="307"/>
      <c r="P147" s="438"/>
      <c r="Q147" s="263"/>
      <c r="R147" s="1142"/>
    </row>
    <row r="148" spans="1:18" ht="30.65" customHeight="1">
      <c r="A148" s="1350"/>
      <c r="B148" s="167" t="s">
        <v>382</v>
      </c>
      <c r="C148" s="439" t="s">
        <v>934</v>
      </c>
      <c r="D148" s="834" t="s">
        <v>78</v>
      </c>
      <c r="E148" s="841" t="s">
        <v>967</v>
      </c>
      <c r="F148" s="841" t="s">
        <v>967</v>
      </c>
      <c r="G148" s="841" t="s">
        <v>967</v>
      </c>
      <c r="H148" s="844" t="s">
        <v>967</v>
      </c>
      <c r="I148" s="850">
        <v>4469</v>
      </c>
      <c r="J148" s="183"/>
      <c r="K148" s="1127" t="s">
        <v>935</v>
      </c>
      <c r="L148" s="1128">
        <v>1</v>
      </c>
      <c r="M148" s="437"/>
      <c r="N148" s="307"/>
      <c r="O148" s="307"/>
      <c r="P148" s="438"/>
      <c r="Q148" s="263"/>
      <c r="R148" s="1142"/>
    </row>
    <row r="149" spans="1:18">
      <c r="A149" s="1351"/>
      <c r="B149" s="65"/>
      <c r="C149" s="81"/>
      <c r="D149" s="120"/>
      <c r="E149" s="891" t="s">
        <v>967</v>
      </c>
      <c r="F149" s="891" t="s">
        <v>967</v>
      </c>
      <c r="G149" s="891" t="s">
        <v>967</v>
      </c>
      <c r="H149" s="891" t="s">
        <v>967</v>
      </c>
      <c r="I149" s="359">
        <f>SUM(I133:I148)</f>
        <v>55775</v>
      </c>
      <c r="J149" s="139"/>
      <c r="K149" s="111"/>
      <c r="L149" s="440">
        <f>SUM(L133:L148)</f>
        <v>149</v>
      </c>
      <c r="M149" s="441">
        <f>SUM(M133:M148)</f>
        <v>0</v>
      </c>
      <c r="N149" s="142"/>
      <c r="O149" s="432"/>
      <c r="P149" s="433"/>
      <c r="Q149" s="352">
        <f>SUM(Q133:Q148)</f>
        <v>0</v>
      </c>
      <c r="R149" s="70">
        <f>SUM(R133:R148)</f>
        <v>0</v>
      </c>
    </row>
    <row r="150" spans="1:18" ht="30.65" customHeight="1">
      <c r="A150" s="264"/>
      <c r="B150" s="1130"/>
      <c r="C150" s="152" t="s">
        <v>395</v>
      </c>
      <c r="D150" s="64"/>
      <c r="E150" s="848" t="s">
        <v>967</v>
      </c>
      <c r="F150" s="848" t="s">
        <v>967</v>
      </c>
      <c r="G150" s="847" t="s">
        <v>967</v>
      </c>
      <c r="H150" s="893" t="s">
        <v>967</v>
      </c>
      <c r="I150" s="837">
        <f t="shared" ref="I150" si="69">I169</f>
        <v>43050</v>
      </c>
      <c r="J150" s="140"/>
      <c r="K150" s="265"/>
      <c r="L150" s="266"/>
      <c r="M150" s="267"/>
      <c r="N150" s="434"/>
      <c r="O150" s="435"/>
      <c r="P150" s="436"/>
      <c r="Q150" s="351">
        <f t="shared" ref="Q150:R150" si="70">Q169</f>
        <v>0</v>
      </c>
      <c r="R150" s="489">
        <f t="shared" si="70"/>
        <v>0</v>
      </c>
    </row>
    <row r="151" spans="1:18" ht="30.65" customHeight="1">
      <c r="A151" s="281"/>
      <c r="B151" s="167" t="s">
        <v>396</v>
      </c>
      <c r="C151" s="185" t="s">
        <v>936</v>
      </c>
      <c r="D151" s="834" t="s">
        <v>78</v>
      </c>
      <c r="E151" s="841" t="s">
        <v>967</v>
      </c>
      <c r="F151" s="841" t="s">
        <v>967</v>
      </c>
      <c r="G151" s="841" t="s">
        <v>967</v>
      </c>
      <c r="H151" s="841" t="s">
        <v>967</v>
      </c>
      <c r="I151" s="774">
        <v>1500</v>
      </c>
      <c r="J151" s="182"/>
      <c r="K151" s="1131" t="s">
        <v>398</v>
      </c>
      <c r="L151" s="1128">
        <v>2</v>
      </c>
      <c r="M151" s="58"/>
      <c r="N151" s="307"/>
      <c r="O151" s="307"/>
      <c r="P151" s="307"/>
      <c r="Q151" s="263"/>
      <c r="R151" s="1129"/>
    </row>
    <row r="152" spans="1:18" ht="30.65" customHeight="1">
      <c r="A152" s="281"/>
      <c r="B152" s="167" t="s">
        <v>396</v>
      </c>
      <c r="C152" s="185" t="s">
        <v>544</v>
      </c>
      <c r="D152" s="834" t="s">
        <v>78</v>
      </c>
      <c r="E152" s="844" t="s">
        <v>967</v>
      </c>
      <c r="F152" s="844" t="s">
        <v>967</v>
      </c>
      <c r="G152" s="844" t="s">
        <v>967</v>
      </c>
      <c r="H152" s="844" t="s">
        <v>967</v>
      </c>
      <c r="I152" s="356"/>
      <c r="J152" s="183"/>
      <c r="K152" s="1131"/>
      <c r="L152" s="1128"/>
      <c r="M152" s="58"/>
      <c r="N152" s="307"/>
      <c r="O152" s="307"/>
      <c r="P152" s="307"/>
      <c r="Q152" s="263"/>
      <c r="R152" s="1129"/>
    </row>
    <row r="153" spans="1:18" ht="30.65" customHeight="1">
      <c r="A153" s="281"/>
      <c r="B153" s="167" t="s">
        <v>396</v>
      </c>
      <c r="C153" s="185" t="s">
        <v>546</v>
      </c>
      <c r="D153" s="834" t="s">
        <v>1124</v>
      </c>
      <c r="E153" s="841" t="s">
        <v>967</v>
      </c>
      <c r="F153" s="841" t="s">
        <v>967</v>
      </c>
      <c r="G153" s="841" t="s">
        <v>967</v>
      </c>
      <c r="H153" s="841" t="s">
        <v>967</v>
      </c>
      <c r="I153" s="774">
        <v>7500</v>
      </c>
      <c r="J153" s="183"/>
      <c r="K153" s="1131" t="s">
        <v>412</v>
      </c>
      <c r="L153" s="1128">
        <v>6</v>
      </c>
      <c r="M153" s="58"/>
      <c r="N153" s="307"/>
      <c r="O153" s="307"/>
      <c r="P153" s="307"/>
      <c r="Q153" s="263"/>
      <c r="R153" s="1129"/>
    </row>
    <row r="154" spans="1:18" ht="30.65" customHeight="1">
      <c r="A154" s="281"/>
      <c r="B154" s="167" t="s">
        <v>396</v>
      </c>
      <c r="C154" s="185" t="s">
        <v>547</v>
      </c>
      <c r="D154" s="834" t="s">
        <v>78</v>
      </c>
      <c r="E154" s="841" t="s">
        <v>967</v>
      </c>
      <c r="F154" s="841" t="s">
        <v>967</v>
      </c>
      <c r="G154" s="841" t="s">
        <v>967</v>
      </c>
      <c r="H154" s="841" t="s">
        <v>967</v>
      </c>
      <c r="I154" s="774">
        <v>475</v>
      </c>
      <c r="J154" s="183"/>
      <c r="K154" s="1131" t="s">
        <v>412</v>
      </c>
      <c r="L154" s="1128">
        <v>3</v>
      </c>
      <c r="M154" s="58"/>
      <c r="N154" s="307"/>
      <c r="O154" s="307"/>
      <c r="P154" s="307"/>
      <c r="Q154" s="263"/>
      <c r="R154" s="1129"/>
    </row>
    <row r="155" spans="1:18" ht="30.65" customHeight="1">
      <c r="A155" s="281"/>
      <c r="B155" s="167" t="s">
        <v>396</v>
      </c>
      <c r="C155" s="185" t="s">
        <v>937</v>
      </c>
      <c r="D155" s="834" t="s">
        <v>78</v>
      </c>
      <c r="E155" s="844" t="s">
        <v>967</v>
      </c>
      <c r="F155" s="844" t="s">
        <v>967</v>
      </c>
      <c r="G155" s="844" t="s">
        <v>967</v>
      </c>
      <c r="H155" s="844" t="s">
        <v>967</v>
      </c>
      <c r="I155" s="356"/>
      <c r="J155" s="183"/>
      <c r="K155" s="1131"/>
      <c r="L155" s="1128"/>
      <c r="M155" s="58"/>
      <c r="N155" s="307"/>
      <c r="O155" s="307"/>
      <c r="P155" s="307"/>
      <c r="Q155" s="263"/>
      <c r="R155" s="1129"/>
    </row>
    <row r="156" spans="1:18" ht="30.65" customHeight="1">
      <c r="A156" s="281"/>
      <c r="B156" s="167" t="s">
        <v>396</v>
      </c>
      <c r="C156" s="185" t="s">
        <v>1125</v>
      </c>
      <c r="D156" s="834" t="s">
        <v>1126</v>
      </c>
      <c r="E156" s="841" t="s">
        <v>967</v>
      </c>
      <c r="F156" s="841" t="s">
        <v>967</v>
      </c>
      <c r="G156" s="841" t="s">
        <v>967</v>
      </c>
      <c r="H156" s="841" t="s">
        <v>967</v>
      </c>
      <c r="I156" s="774">
        <v>2500</v>
      </c>
      <c r="J156" s="183"/>
      <c r="K156" s="1131" t="s">
        <v>412</v>
      </c>
      <c r="L156" s="1128">
        <v>1</v>
      </c>
      <c r="M156" s="58"/>
      <c r="N156" s="307"/>
      <c r="O156" s="307"/>
      <c r="P156" s="307"/>
      <c r="Q156" s="263"/>
      <c r="R156" s="1129"/>
    </row>
    <row r="157" spans="1:18" ht="30.65" customHeight="1">
      <c r="A157" s="281"/>
      <c r="B157" s="167" t="s">
        <v>396</v>
      </c>
      <c r="C157" s="185" t="s">
        <v>939</v>
      </c>
      <c r="D157" s="834" t="s">
        <v>78</v>
      </c>
      <c r="E157" s="844" t="s">
        <v>967</v>
      </c>
      <c r="F157" s="844" t="s">
        <v>967</v>
      </c>
      <c r="G157" s="844" t="s">
        <v>967</v>
      </c>
      <c r="H157" s="844" t="s">
        <v>967</v>
      </c>
      <c r="I157" s="356"/>
      <c r="J157" s="183"/>
      <c r="K157" s="1131"/>
      <c r="L157" s="1128"/>
      <c r="M157" s="58"/>
      <c r="N157" s="307"/>
      <c r="O157" s="307"/>
      <c r="P157" s="307"/>
      <c r="Q157" s="263"/>
      <c r="R157" s="1129"/>
    </row>
    <row r="158" spans="1:18" ht="30.65" customHeight="1">
      <c r="A158" s="281"/>
      <c r="B158" s="167" t="s">
        <v>396</v>
      </c>
      <c r="C158" s="185" t="s">
        <v>940</v>
      </c>
      <c r="D158" s="834" t="s">
        <v>1126</v>
      </c>
      <c r="E158" s="844" t="s">
        <v>967</v>
      </c>
      <c r="F158" s="844" t="s">
        <v>967</v>
      </c>
      <c r="G158" s="844" t="s">
        <v>967</v>
      </c>
      <c r="H158" s="844" t="s">
        <v>967</v>
      </c>
      <c r="I158" s="356"/>
      <c r="J158" s="183"/>
      <c r="K158" s="1131"/>
      <c r="L158" s="1128"/>
      <c r="M158" s="58"/>
      <c r="N158" s="307"/>
      <c r="O158" s="307"/>
      <c r="P158" s="307"/>
      <c r="Q158" s="263"/>
      <c r="R158" s="1129"/>
    </row>
    <row r="159" spans="1:18" ht="30.65" customHeight="1">
      <c r="A159" s="281"/>
      <c r="B159" s="167" t="s">
        <v>396</v>
      </c>
      <c r="C159" s="185" t="s">
        <v>941</v>
      </c>
      <c r="D159" s="834" t="s">
        <v>78</v>
      </c>
      <c r="E159" s="844" t="s">
        <v>967</v>
      </c>
      <c r="F159" s="844" t="s">
        <v>967</v>
      </c>
      <c r="G159" s="844" t="s">
        <v>967</v>
      </c>
      <c r="H159" s="844" t="s">
        <v>967</v>
      </c>
      <c r="I159" s="356"/>
      <c r="J159" s="183"/>
      <c r="K159" s="1131"/>
      <c r="L159" s="1128"/>
      <c r="M159" s="58"/>
      <c r="N159" s="307"/>
      <c r="O159" s="307"/>
      <c r="P159" s="307"/>
      <c r="Q159" s="263"/>
      <c r="R159" s="1129"/>
    </row>
    <row r="160" spans="1:18" ht="30.65" customHeight="1">
      <c r="A160" s="281"/>
      <c r="B160" s="167" t="s">
        <v>396</v>
      </c>
      <c r="C160" s="185" t="s">
        <v>1127</v>
      </c>
      <c r="D160" s="834" t="s">
        <v>1126</v>
      </c>
      <c r="E160" s="841" t="s">
        <v>967</v>
      </c>
      <c r="F160" s="841" t="s">
        <v>967</v>
      </c>
      <c r="G160" s="841" t="s">
        <v>967</v>
      </c>
      <c r="H160" s="841" t="s">
        <v>967</v>
      </c>
      <c r="I160" s="774">
        <v>3000</v>
      </c>
      <c r="J160" s="183"/>
      <c r="K160" s="1131" t="s">
        <v>412</v>
      </c>
      <c r="L160" s="1128">
        <v>4</v>
      </c>
      <c r="M160" s="58"/>
      <c r="N160" s="307"/>
      <c r="O160" s="307"/>
      <c r="P160" s="307"/>
      <c r="Q160" s="263"/>
      <c r="R160" s="1129"/>
    </row>
    <row r="161" spans="1:21" ht="30.65" customHeight="1">
      <c r="A161" s="281"/>
      <c r="B161" s="167" t="s">
        <v>396</v>
      </c>
      <c r="C161" s="185" t="s">
        <v>943</v>
      </c>
      <c r="D161" s="834" t="s">
        <v>78</v>
      </c>
      <c r="E161" s="844" t="s">
        <v>967</v>
      </c>
      <c r="F161" s="844" t="s">
        <v>967</v>
      </c>
      <c r="G161" s="844" t="s">
        <v>967</v>
      </c>
      <c r="H161" s="844" t="s">
        <v>967</v>
      </c>
      <c r="I161" s="356"/>
      <c r="J161" s="183"/>
      <c r="K161" s="1131"/>
      <c r="L161" s="1128"/>
      <c r="M161" s="58"/>
      <c r="N161" s="307"/>
      <c r="O161" s="307"/>
      <c r="P161" s="307"/>
      <c r="Q161" s="263"/>
      <c r="R161" s="1129"/>
    </row>
    <row r="162" spans="1:21" ht="30.65" customHeight="1">
      <c r="A162" s="281"/>
      <c r="B162" s="167" t="s">
        <v>396</v>
      </c>
      <c r="C162" s="185" t="s">
        <v>555</v>
      </c>
      <c r="D162" s="834" t="s">
        <v>78</v>
      </c>
      <c r="E162" s="844" t="s">
        <v>967</v>
      </c>
      <c r="F162" s="844" t="s">
        <v>967</v>
      </c>
      <c r="G162" s="844" t="s">
        <v>967</v>
      </c>
      <c r="H162" s="844" t="s">
        <v>967</v>
      </c>
      <c r="I162" s="356"/>
      <c r="J162" s="183"/>
      <c r="K162" s="1131"/>
      <c r="L162" s="1128"/>
      <c r="M162" s="58"/>
      <c r="N162" s="307"/>
      <c r="O162" s="307"/>
      <c r="P162" s="307"/>
      <c r="Q162" s="263"/>
      <c r="R162" s="1129"/>
    </row>
    <row r="163" spans="1:21" ht="30.65" customHeight="1">
      <c r="A163" s="281"/>
      <c r="B163" s="167" t="s">
        <v>396</v>
      </c>
      <c r="C163" s="185" t="s">
        <v>404</v>
      </c>
      <c r="D163" s="834" t="s">
        <v>78</v>
      </c>
      <c r="E163" s="890" t="s">
        <v>967</v>
      </c>
      <c r="F163" s="844" t="s">
        <v>967</v>
      </c>
      <c r="G163" s="844" t="s">
        <v>967</v>
      </c>
      <c r="H163" s="844" t="s">
        <v>967</v>
      </c>
      <c r="I163" s="356"/>
      <c r="J163" s="183"/>
      <c r="K163" s="1131"/>
      <c r="L163" s="1128"/>
      <c r="M163" s="58"/>
      <c r="N163" s="307"/>
      <c r="O163" s="307"/>
      <c r="P163" s="307"/>
      <c r="Q163" s="263"/>
      <c r="R163" s="1129"/>
    </row>
    <row r="164" spans="1:21" ht="30.65" customHeight="1">
      <c r="A164" s="281"/>
      <c r="B164" s="167" t="s">
        <v>396</v>
      </c>
      <c r="C164" s="185" t="s">
        <v>1128</v>
      </c>
      <c r="D164" s="834" t="s">
        <v>1126</v>
      </c>
      <c r="E164" s="841" t="s">
        <v>967</v>
      </c>
      <c r="F164" s="841" t="s">
        <v>967</v>
      </c>
      <c r="G164" s="841" t="s">
        <v>967</v>
      </c>
      <c r="H164" s="841" t="s">
        <v>967</v>
      </c>
      <c r="I164" s="774">
        <v>22000</v>
      </c>
      <c r="J164" s="183"/>
      <c r="K164" s="1131" t="s">
        <v>409</v>
      </c>
      <c r="L164" s="1128">
        <v>8</v>
      </c>
      <c r="M164" s="58"/>
      <c r="N164" s="307"/>
      <c r="O164" s="307"/>
      <c r="P164" s="307"/>
      <c r="Q164" s="263"/>
      <c r="R164" s="1129"/>
    </row>
    <row r="165" spans="1:21" ht="30.65" customHeight="1">
      <c r="A165" s="281"/>
      <c r="B165" s="167" t="s">
        <v>396</v>
      </c>
      <c r="C165" s="185" t="s">
        <v>944</v>
      </c>
      <c r="D165" s="834" t="s">
        <v>78</v>
      </c>
      <c r="E165" s="841" t="s">
        <v>967</v>
      </c>
      <c r="F165" s="841" t="s">
        <v>967</v>
      </c>
      <c r="G165" s="841" t="s">
        <v>967</v>
      </c>
      <c r="H165" s="841" t="s">
        <v>967</v>
      </c>
      <c r="I165" s="774">
        <v>775</v>
      </c>
      <c r="J165" s="183"/>
      <c r="K165" s="1131" t="s">
        <v>398</v>
      </c>
      <c r="L165" s="1128">
        <v>1</v>
      </c>
      <c r="M165" s="58"/>
      <c r="N165" s="307"/>
      <c r="O165" s="307"/>
      <c r="P165" s="307"/>
      <c r="Q165" s="263"/>
      <c r="R165" s="1129"/>
    </row>
    <row r="166" spans="1:21" ht="30.65" customHeight="1">
      <c r="A166" s="281"/>
      <c r="B166" s="167" t="s">
        <v>396</v>
      </c>
      <c r="C166" s="185" t="s">
        <v>413</v>
      </c>
      <c r="D166" s="834" t="s">
        <v>78</v>
      </c>
      <c r="E166" s="890"/>
      <c r="F166" s="890"/>
      <c r="G166" s="841" t="s">
        <v>967</v>
      </c>
      <c r="H166" s="841" t="s">
        <v>967</v>
      </c>
      <c r="I166" s="774">
        <v>775</v>
      </c>
      <c r="J166" s="183"/>
      <c r="K166" s="1131" t="s">
        <v>945</v>
      </c>
      <c r="L166" s="1128">
        <v>3</v>
      </c>
      <c r="M166" s="58"/>
      <c r="N166" s="307"/>
      <c r="O166" s="307"/>
      <c r="P166" s="307"/>
      <c r="Q166" s="263"/>
      <c r="R166" s="1129"/>
    </row>
    <row r="167" spans="1:21" ht="30.65" customHeight="1">
      <c r="A167" s="281"/>
      <c r="B167" s="167" t="s">
        <v>396</v>
      </c>
      <c r="C167" s="185" t="s">
        <v>415</v>
      </c>
      <c r="D167" s="834" t="s">
        <v>78</v>
      </c>
      <c r="E167" s="841" t="s">
        <v>967</v>
      </c>
      <c r="F167" s="841" t="s">
        <v>967</v>
      </c>
      <c r="G167" s="890"/>
      <c r="H167" s="890" t="s">
        <v>967</v>
      </c>
      <c r="I167" s="774">
        <v>775</v>
      </c>
      <c r="J167" s="183"/>
      <c r="K167" s="1131" t="s">
        <v>946</v>
      </c>
      <c r="L167" s="1128">
        <v>1</v>
      </c>
      <c r="M167" s="58"/>
      <c r="N167" s="307"/>
      <c r="O167" s="307"/>
      <c r="P167" s="307"/>
      <c r="Q167" s="263"/>
      <c r="R167" s="1129"/>
    </row>
    <row r="168" spans="1:21" ht="30.65" customHeight="1">
      <c r="A168" s="281"/>
      <c r="B168" s="167" t="s">
        <v>396</v>
      </c>
      <c r="C168" s="187" t="s">
        <v>417</v>
      </c>
      <c r="D168" s="834" t="s">
        <v>1129</v>
      </c>
      <c r="E168" s="841" t="s">
        <v>967</v>
      </c>
      <c r="F168" s="841" t="s">
        <v>967</v>
      </c>
      <c r="G168" s="841" t="s">
        <v>967</v>
      </c>
      <c r="H168" s="841"/>
      <c r="I168" s="774">
        <v>3750</v>
      </c>
      <c r="J168" s="183"/>
      <c r="K168" s="1131" t="s">
        <v>1130</v>
      </c>
      <c r="L168" s="1128">
        <v>1</v>
      </c>
      <c r="M168" s="58"/>
      <c r="N168" s="307"/>
      <c r="O168" s="307"/>
      <c r="P168" s="307"/>
      <c r="Q168" s="263"/>
      <c r="R168" s="1129"/>
    </row>
    <row r="169" spans="1:21" ht="18.5">
      <c r="A169" s="383"/>
      <c r="B169" s="65"/>
      <c r="C169" s="81"/>
      <c r="D169" s="120"/>
      <c r="E169" s="413"/>
      <c r="F169" s="413"/>
      <c r="G169" s="413"/>
      <c r="H169" s="414"/>
      <c r="I169" s="359">
        <f>SUM(I151:I168)</f>
        <v>43050</v>
      </c>
      <c r="J169" s="139"/>
      <c r="K169" s="111"/>
      <c r="L169" s="440">
        <f>SUM(L151:L168)</f>
        <v>30</v>
      </c>
      <c r="M169" s="274"/>
      <c r="N169" s="142"/>
      <c r="O169" s="432"/>
      <c r="P169" s="433"/>
      <c r="Q169" s="352">
        <f>SUM(Q151:Q168)</f>
        <v>0</v>
      </c>
      <c r="R169" s="70">
        <f>SUM(R151:R168)</f>
        <v>0</v>
      </c>
    </row>
    <row r="170" spans="1:21" ht="57.75" customHeight="1">
      <c r="A170" s="264"/>
      <c r="B170" s="1130"/>
      <c r="C170" s="152" t="s">
        <v>1131</v>
      </c>
      <c r="D170" s="64"/>
      <c r="E170" s="64"/>
      <c r="F170" s="64"/>
      <c r="G170" s="129"/>
      <c r="H170" s="130"/>
      <c r="I170" s="381">
        <v>285000</v>
      </c>
      <c r="J170" s="140"/>
      <c r="K170" s="265"/>
      <c r="L170" s="266"/>
      <c r="M170" s="267"/>
      <c r="N170" s="141"/>
      <c r="O170" s="282"/>
      <c r="P170" s="283"/>
      <c r="Q170" s="351"/>
      <c r="R170" s="489"/>
    </row>
    <row r="171" spans="1:21" s="451" customFormat="1" ht="35.25" customHeight="1" thickBot="1">
      <c r="A171" s="268" t="s">
        <v>437</v>
      </c>
      <c r="B171" s="269"/>
      <c r="C171" s="270"/>
      <c r="D171" s="270"/>
      <c r="E171" s="1352" t="s">
        <v>1132</v>
      </c>
      <c r="F171" s="1353"/>
      <c r="G171" s="1353"/>
      <c r="H171" s="1354"/>
      <c r="I171" s="446">
        <f>I5+I131</f>
        <v>1921046</v>
      </c>
      <c r="J171" s="137"/>
      <c r="K171" s="447"/>
      <c r="L171" s="448"/>
      <c r="M171" s="449"/>
      <c r="N171" s="118"/>
      <c r="O171" s="450"/>
      <c r="P171" s="450"/>
      <c r="Q171" s="349">
        <f>Q5+Q131</f>
        <v>0</v>
      </c>
      <c r="R171" s="271">
        <f>R5+R131</f>
        <v>0</v>
      </c>
      <c r="S171"/>
      <c r="T171"/>
      <c r="U171"/>
    </row>
    <row r="172" spans="1:21" ht="31">
      <c r="A172" s="1108"/>
      <c r="B172" s="1108"/>
      <c r="C172" s="1108"/>
      <c r="D172" s="1132" t="s">
        <v>439</v>
      </c>
      <c r="E172" s="159"/>
      <c r="F172" s="159"/>
      <c r="G172" s="159"/>
      <c r="H172" s="1133"/>
      <c r="I172" s="1134"/>
      <c r="J172" s="1136"/>
      <c r="K172" s="1136"/>
      <c r="L172" s="1136"/>
      <c r="M172" s="1108"/>
      <c r="N172" s="1108"/>
      <c r="O172" s="659" t="s">
        <v>440</v>
      </c>
      <c r="P172" s="660">
        <f>IFERROR(AVERAGE(N8:N16,N19:N19,N21:N24, N26:N28,N32:N34,N37:N39,N41:N42,N44:N46,N50:N55,N57:N62,N64:N70,N73:N76,N78:N82,N84:N87,N90:N92,N94:N97,N101:N103,N105:N109,N112:N120,N123:N129),"")</f>
        <v>0</v>
      </c>
      <c r="Q172" s="163" t="s">
        <v>441</v>
      </c>
      <c r="R172" s="160"/>
    </row>
    <row r="173" spans="1:21" ht="32.25" customHeight="1">
      <c r="A173" s="1108"/>
      <c r="B173" s="1108"/>
      <c r="C173" s="1108"/>
      <c r="D173" s="1137" t="s">
        <v>442</v>
      </c>
      <c r="E173" s="164"/>
      <c r="F173" s="164"/>
      <c r="G173" s="164"/>
      <c r="H173" s="1138"/>
      <c r="I173" s="1138"/>
      <c r="J173" s="1139"/>
      <c r="K173" s="1136"/>
      <c r="L173" s="1136"/>
      <c r="M173" s="1108"/>
      <c r="N173" s="1108"/>
      <c r="O173" s="1108"/>
      <c r="P173" s="1108"/>
      <c r="Q173" s="1108"/>
      <c r="R173" s="1108"/>
    </row>
    <row r="176" spans="1:21" ht="15" customHeight="1">
      <c r="A176" s="1108"/>
      <c r="B176" s="1108"/>
      <c r="C176" s="1108"/>
      <c r="D176" s="1108"/>
      <c r="J176" s="1139"/>
      <c r="K176" s="1108"/>
      <c r="L176" s="1108"/>
      <c r="M176" s="1108"/>
      <c r="N176" s="1108"/>
      <c r="O176" s="1108"/>
      <c r="P176" s="1108"/>
      <c r="Q176" s="1108"/>
      <c r="R176" s="1108"/>
    </row>
    <row r="177" spans="1:1">
      <c r="A177" s="1108"/>
    </row>
    <row r="179" spans="1:1">
      <c r="A179" s="390"/>
    </row>
  </sheetData>
  <sheetProtection formatCells="0" formatColumns="0" formatRows="0" insertRows="0" deleteRows="0" selectLockedCells="1" sort="0"/>
  <mergeCells count="59">
    <mergeCell ref="O3:O4"/>
    <mergeCell ref="O112:O120"/>
    <mergeCell ref="B3:B4"/>
    <mergeCell ref="D3:D4"/>
    <mergeCell ref="L3:L4"/>
    <mergeCell ref="M3:M4"/>
    <mergeCell ref="N3:N4"/>
    <mergeCell ref="AH4:AH5"/>
    <mergeCell ref="P3:P4"/>
    <mergeCell ref="Q3:R3"/>
    <mergeCell ref="W3:Z3"/>
    <mergeCell ref="AB3:AE3"/>
    <mergeCell ref="W4:W5"/>
    <mergeCell ref="X4:X5"/>
    <mergeCell ref="Y4:Y5"/>
    <mergeCell ref="Z4:Z5"/>
    <mergeCell ref="AA4:AA5"/>
    <mergeCell ref="AB4:AB5"/>
    <mergeCell ref="AC4:AC5"/>
    <mergeCell ref="AD4:AD5"/>
    <mergeCell ref="AE4:AE5"/>
    <mergeCell ref="AF4:AF5"/>
    <mergeCell ref="AG4:AG5"/>
    <mergeCell ref="T5:U5"/>
    <mergeCell ref="A8:A17"/>
    <mergeCell ref="O8:O16"/>
    <mergeCell ref="P8:P28"/>
    <mergeCell ref="A19:A20"/>
    <mergeCell ref="O19:O28"/>
    <mergeCell ref="A21:A25"/>
    <mergeCell ref="A26:A29"/>
    <mergeCell ref="A32:A35"/>
    <mergeCell ref="O32:O34"/>
    <mergeCell ref="P32:P46"/>
    <mergeCell ref="A37:A40"/>
    <mergeCell ref="O37:O46"/>
    <mergeCell ref="A41:A43"/>
    <mergeCell ref="A44:A47"/>
    <mergeCell ref="A50:A56"/>
    <mergeCell ref="O50:O70"/>
    <mergeCell ref="P50:P97"/>
    <mergeCell ref="A57:A63"/>
    <mergeCell ref="A64:A71"/>
    <mergeCell ref="A73:A77"/>
    <mergeCell ref="O73:O87"/>
    <mergeCell ref="A78:A83"/>
    <mergeCell ref="A84:A88"/>
    <mergeCell ref="A90:A93"/>
    <mergeCell ref="P101:P129"/>
    <mergeCell ref="A105:A110"/>
    <mergeCell ref="A112:A121"/>
    <mergeCell ref="A123:A130"/>
    <mergeCell ref="O123:O129"/>
    <mergeCell ref="A133:A149"/>
    <mergeCell ref="E171:H171"/>
    <mergeCell ref="O90:O97"/>
    <mergeCell ref="A94:A98"/>
    <mergeCell ref="A101:A104"/>
    <mergeCell ref="O101:O109"/>
  </mergeCells>
  <conditionalFormatting sqref="D8:D15 D112:D119">
    <cfRule type="cellIs" priority="13" operator="greaterThan">
      <formula>0</formula>
    </cfRule>
  </conditionalFormatting>
  <conditionalFormatting sqref="D19">
    <cfRule type="cellIs" priority="10" operator="greaterThan">
      <formula>0</formula>
    </cfRule>
  </conditionalFormatting>
  <conditionalFormatting sqref="D26:D27">
    <cfRule type="cellIs" priority="9" operator="greaterThan">
      <formula>0</formula>
    </cfRule>
  </conditionalFormatting>
  <conditionalFormatting sqref="D32">
    <cfRule type="cellIs" priority="12" operator="greaterThan">
      <formula>0</formula>
    </cfRule>
  </conditionalFormatting>
  <conditionalFormatting sqref="D37:D38">
    <cfRule type="cellIs" priority="3" operator="greaterThan">
      <formula>0</formula>
    </cfRule>
  </conditionalFormatting>
  <conditionalFormatting sqref="D41:D42">
    <cfRule type="cellIs" priority="2" operator="greaterThan">
      <formula>0</formula>
    </cfRule>
  </conditionalFormatting>
  <conditionalFormatting sqref="D44:D45">
    <cfRule type="cellIs" priority="1" operator="greaterThan">
      <formula>0</formula>
    </cfRule>
  </conditionalFormatting>
  <conditionalFormatting sqref="D50">
    <cfRule type="cellIs" priority="17" operator="greaterThan">
      <formula>0</formula>
    </cfRule>
  </conditionalFormatting>
  <conditionalFormatting sqref="D57">
    <cfRule type="cellIs" priority="16" operator="greaterThan">
      <formula>0</formula>
    </cfRule>
  </conditionalFormatting>
  <conditionalFormatting sqref="D64">
    <cfRule type="cellIs" priority="8" operator="greaterThan">
      <formula>0</formula>
    </cfRule>
  </conditionalFormatting>
  <conditionalFormatting sqref="D73:D74">
    <cfRule type="cellIs" priority="11" operator="greaterThan">
      <formula>0</formula>
    </cfRule>
  </conditionalFormatting>
  <conditionalFormatting sqref="D78:D80">
    <cfRule type="cellIs" priority="15" operator="greaterThan">
      <formula>0</formula>
    </cfRule>
  </conditionalFormatting>
  <conditionalFormatting sqref="D84:D85">
    <cfRule type="cellIs" priority="7" operator="greaterThan">
      <formula>0</formula>
    </cfRule>
  </conditionalFormatting>
  <conditionalFormatting sqref="D90:D91">
    <cfRule type="cellIs" priority="6" operator="greaterThan">
      <formula>0</formula>
    </cfRule>
  </conditionalFormatting>
  <conditionalFormatting sqref="D94:D95">
    <cfRule type="cellIs" priority="5" operator="greaterThan">
      <formula>0</formula>
    </cfRule>
  </conditionalFormatting>
  <conditionalFormatting sqref="D101">
    <cfRule type="cellIs" priority="18" operator="greaterThan">
      <formula>0</formula>
    </cfRule>
  </conditionalFormatting>
  <conditionalFormatting sqref="D105:D107">
    <cfRule type="cellIs" priority="14" operator="greaterThan">
      <formula>0</formula>
    </cfRule>
  </conditionalFormatting>
  <conditionalFormatting sqref="D123:D129">
    <cfRule type="cellIs" priority="4" operator="greaterThan">
      <formula>0</formula>
    </cfRule>
  </conditionalFormatting>
  <pageMargins left="0.75" right="0.75" top="1" bottom="1" header="0.5" footer="0.5"/>
  <pageSetup orientation="portrait" horizontalDpi="30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3E9EA-8269-408D-B304-7262EFE0DE67}">
  <sheetPr codeName="Sheet7">
    <tabColor rgb="FF92D050"/>
  </sheetPr>
  <dimension ref="A2:Q310"/>
  <sheetViews>
    <sheetView zoomScale="80" zoomScaleNormal="80" workbookViewId="0">
      <selection activeCell="A19" sqref="A19"/>
    </sheetView>
  </sheetViews>
  <sheetFormatPr defaultRowHeight="14.5"/>
  <cols>
    <col min="1" max="1" width="54" style="92" customWidth="1"/>
    <col min="2" max="2" width="68" style="92" customWidth="1"/>
    <col min="3" max="3" width="74.26953125" style="92" customWidth="1"/>
    <col min="4" max="4" width="9.26953125" style="92" customWidth="1"/>
    <col min="5" max="5" width="102" style="92" customWidth="1"/>
    <col min="6" max="6" width="28.7265625" style="92" customWidth="1"/>
    <col min="7" max="7" width="15.6328125" style="92" customWidth="1"/>
    <col min="8" max="8" width="46.08984375" style="92" customWidth="1"/>
    <col min="9" max="256" width="9.08984375" style="92"/>
    <col min="257" max="257" width="21.6328125" style="92" customWidth="1"/>
    <col min="258" max="258" width="17.6328125" style="92" customWidth="1"/>
    <col min="259" max="259" width="23.36328125" style="92" customWidth="1"/>
    <col min="260" max="260" width="9.7265625" style="92" customWidth="1"/>
    <col min="261" max="261" width="24.90625" style="92" customWidth="1"/>
    <col min="262" max="263" width="15.6328125" style="92" customWidth="1"/>
    <col min="264" max="264" width="17.36328125" style="92" customWidth="1"/>
    <col min="265" max="512" width="9.08984375" style="92"/>
    <col min="513" max="513" width="21.6328125" style="92" customWidth="1"/>
    <col min="514" max="514" width="17.6328125" style="92" customWidth="1"/>
    <col min="515" max="515" width="23.36328125" style="92" customWidth="1"/>
    <col min="516" max="516" width="9.7265625" style="92" customWidth="1"/>
    <col min="517" max="517" width="24.90625" style="92" customWidth="1"/>
    <col min="518" max="519" width="15.6328125" style="92" customWidth="1"/>
    <col min="520" max="520" width="17.36328125" style="92" customWidth="1"/>
    <col min="521" max="768" width="9.08984375" style="92"/>
    <col min="769" max="769" width="21.6328125" style="92" customWidth="1"/>
    <col min="770" max="770" width="17.6328125" style="92" customWidth="1"/>
    <col min="771" max="771" width="23.36328125" style="92" customWidth="1"/>
    <col min="772" max="772" width="9.7265625" style="92" customWidth="1"/>
    <col min="773" max="773" width="24.90625" style="92" customWidth="1"/>
    <col min="774" max="775" width="15.6328125" style="92" customWidth="1"/>
    <col min="776" max="776" width="17.36328125" style="92" customWidth="1"/>
    <col min="777" max="1024" width="9.08984375" style="92"/>
    <col min="1025" max="1025" width="21.6328125" style="92" customWidth="1"/>
    <col min="1026" max="1026" width="17.6328125" style="92" customWidth="1"/>
    <col min="1027" max="1027" width="23.36328125" style="92" customWidth="1"/>
    <col min="1028" max="1028" width="9.7265625" style="92" customWidth="1"/>
    <col min="1029" max="1029" width="24.90625" style="92" customWidth="1"/>
    <col min="1030" max="1031" width="15.6328125" style="92" customWidth="1"/>
    <col min="1032" max="1032" width="17.36328125" style="92" customWidth="1"/>
    <col min="1033" max="1280" width="9.08984375" style="92"/>
    <col min="1281" max="1281" width="21.6328125" style="92" customWidth="1"/>
    <col min="1282" max="1282" width="17.6328125" style="92" customWidth="1"/>
    <col min="1283" max="1283" width="23.36328125" style="92" customWidth="1"/>
    <col min="1284" max="1284" width="9.7265625" style="92" customWidth="1"/>
    <col min="1285" max="1285" width="24.90625" style="92" customWidth="1"/>
    <col min="1286" max="1287" width="15.6328125" style="92" customWidth="1"/>
    <col min="1288" max="1288" width="17.36328125" style="92" customWidth="1"/>
    <col min="1289" max="1536" width="9.08984375" style="92"/>
    <col min="1537" max="1537" width="21.6328125" style="92" customWidth="1"/>
    <col min="1538" max="1538" width="17.6328125" style="92" customWidth="1"/>
    <col min="1539" max="1539" width="23.36328125" style="92" customWidth="1"/>
    <col min="1540" max="1540" width="9.7265625" style="92" customWidth="1"/>
    <col min="1541" max="1541" width="24.90625" style="92" customWidth="1"/>
    <col min="1542" max="1543" width="15.6328125" style="92" customWidth="1"/>
    <col min="1544" max="1544" width="17.36328125" style="92" customWidth="1"/>
    <col min="1545" max="1792" width="9.08984375" style="92"/>
    <col min="1793" max="1793" width="21.6328125" style="92" customWidth="1"/>
    <col min="1794" max="1794" width="17.6328125" style="92" customWidth="1"/>
    <col min="1795" max="1795" width="23.36328125" style="92" customWidth="1"/>
    <col min="1796" max="1796" width="9.7265625" style="92" customWidth="1"/>
    <col min="1797" max="1797" width="24.90625" style="92" customWidth="1"/>
    <col min="1798" max="1799" width="15.6328125" style="92" customWidth="1"/>
    <col min="1800" max="1800" width="17.36328125" style="92" customWidth="1"/>
    <col min="1801" max="2048" width="9.08984375" style="92"/>
    <col min="2049" max="2049" width="21.6328125" style="92" customWidth="1"/>
    <col min="2050" max="2050" width="17.6328125" style="92" customWidth="1"/>
    <col min="2051" max="2051" width="23.36328125" style="92" customWidth="1"/>
    <col min="2052" max="2052" width="9.7265625" style="92" customWidth="1"/>
    <col min="2053" max="2053" width="24.90625" style="92" customWidth="1"/>
    <col min="2054" max="2055" width="15.6328125" style="92" customWidth="1"/>
    <col min="2056" max="2056" width="17.36328125" style="92" customWidth="1"/>
    <col min="2057" max="2304" width="9.08984375" style="92"/>
    <col min="2305" max="2305" width="21.6328125" style="92" customWidth="1"/>
    <col min="2306" max="2306" width="17.6328125" style="92" customWidth="1"/>
    <col min="2307" max="2307" width="23.36328125" style="92" customWidth="1"/>
    <col min="2308" max="2308" width="9.7265625" style="92" customWidth="1"/>
    <col min="2309" max="2309" width="24.90625" style="92" customWidth="1"/>
    <col min="2310" max="2311" width="15.6328125" style="92" customWidth="1"/>
    <col min="2312" max="2312" width="17.36328125" style="92" customWidth="1"/>
    <col min="2313" max="2560" width="9.08984375" style="92"/>
    <col min="2561" max="2561" width="21.6328125" style="92" customWidth="1"/>
    <col min="2562" max="2562" width="17.6328125" style="92" customWidth="1"/>
    <col min="2563" max="2563" width="23.36328125" style="92" customWidth="1"/>
    <col min="2564" max="2564" width="9.7265625" style="92" customWidth="1"/>
    <col min="2565" max="2565" width="24.90625" style="92" customWidth="1"/>
    <col min="2566" max="2567" width="15.6328125" style="92" customWidth="1"/>
    <col min="2568" max="2568" width="17.36328125" style="92" customWidth="1"/>
    <col min="2569" max="2816" width="9.08984375" style="92"/>
    <col min="2817" max="2817" width="21.6328125" style="92" customWidth="1"/>
    <col min="2818" max="2818" width="17.6328125" style="92" customWidth="1"/>
    <col min="2819" max="2819" width="23.36328125" style="92" customWidth="1"/>
    <col min="2820" max="2820" width="9.7265625" style="92" customWidth="1"/>
    <col min="2821" max="2821" width="24.90625" style="92" customWidth="1"/>
    <col min="2822" max="2823" width="15.6328125" style="92" customWidth="1"/>
    <col min="2824" max="2824" width="17.36328125" style="92" customWidth="1"/>
    <col min="2825" max="3072" width="9.08984375" style="92"/>
    <col min="3073" max="3073" width="21.6328125" style="92" customWidth="1"/>
    <col min="3074" max="3074" width="17.6328125" style="92" customWidth="1"/>
    <col min="3075" max="3075" width="23.36328125" style="92" customWidth="1"/>
    <col min="3076" max="3076" width="9.7265625" style="92" customWidth="1"/>
    <col min="3077" max="3077" width="24.90625" style="92" customWidth="1"/>
    <col min="3078" max="3079" width="15.6328125" style="92" customWidth="1"/>
    <col min="3080" max="3080" width="17.36328125" style="92" customWidth="1"/>
    <col min="3081" max="3328" width="9.08984375" style="92"/>
    <col min="3329" max="3329" width="21.6328125" style="92" customWidth="1"/>
    <col min="3330" max="3330" width="17.6328125" style="92" customWidth="1"/>
    <col min="3331" max="3331" width="23.36328125" style="92" customWidth="1"/>
    <col min="3332" max="3332" width="9.7265625" style="92" customWidth="1"/>
    <col min="3333" max="3333" width="24.90625" style="92" customWidth="1"/>
    <col min="3334" max="3335" width="15.6328125" style="92" customWidth="1"/>
    <col min="3336" max="3336" width="17.36328125" style="92" customWidth="1"/>
    <col min="3337" max="3584" width="9.08984375" style="92"/>
    <col min="3585" max="3585" width="21.6328125" style="92" customWidth="1"/>
    <col min="3586" max="3586" width="17.6328125" style="92" customWidth="1"/>
    <col min="3587" max="3587" width="23.36328125" style="92" customWidth="1"/>
    <col min="3588" max="3588" width="9.7265625" style="92" customWidth="1"/>
    <col min="3589" max="3589" width="24.90625" style="92" customWidth="1"/>
    <col min="3590" max="3591" width="15.6328125" style="92" customWidth="1"/>
    <col min="3592" max="3592" width="17.36328125" style="92" customWidth="1"/>
    <col min="3593" max="3840" width="9.08984375" style="92"/>
    <col min="3841" max="3841" width="21.6328125" style="92" customWidth="1"/>
    <col min="3842" max="3842" width="17.6328125" style="92" customWidth="1"/>
    <col min="3843" max="3843" width="23.36328125" style="92" customWidth="1"/>
    <col min="3844" max="3844" width="9.7265625" style="92" customWidth="1"/>
    <col min="3845" max="3845" width="24.90625" style="92" customWidth="1"/>
    <col min="3846" max="3847" width="15.6328125" style="92" customWidth="1"/>
    <col min="3848" max="3848" width="17.36328125" style="92" customWidth="1"/>
    <col min="3849" max="4096" width="9.08984375" style="92"/>
    <col min="4097" max="4097" width="21.6328125" style="92" customWidth="1"/>
    <col min="4098" max="4098" width="17.6328125" style="92" customWidth="1"/>
    <col min="4099" max="4099" width="23.36328125" style="92" customWidth="1"/>
    <col min="4100" max="4100" width="9.7265625" style="92" customWidth="1"/>
    <col min="4101" max="4101" width="24.90625" style="92" customWidth="1"/>
    <col min="4102" max="4103" width="15.6328125" style="92" customWidth="1"/>
    <col min="4104" max="4104" width="17.36328125" style="92" customWidth="1"/>
    <col min="4105" max="4352" width="9.08984375" style="92"/>
    <col min="4353" max="4353" width="21.6328125" style="92" customWidth="1"/>
    <col min="4354" max="4354" width="17.6328125" style="92" customWidth="1"/>
    <col min="4355" max="4355" width="23.36328125" style="92" customWidth="1"/>
    <col min="4356" max="4356" width="9.7265625" style="92" customWidth="1"/>
    <col min="4357" max="4357" width="24.90625" style="92" customWidth="1"/>
    <col min="4358" max="4359" width="15.6328125" style="92" customWidth="1"/>
    <col min="4360" max="4360" width="17.36328125" style="92" customWidth="1"/>
    <col min="4361" max="4608" width="9.08984375" style="92"/>
    <col min="4609" max="4609" width="21.6328125" style="92" customWidth="1"/>
    <col min="4610" max="4610" width="17.6328125" style="92" customWidth="1"/>
    <col min="4611" max="4611" width="23.36328125" style="92" customWidth="1"/>
    <col min="4612" max="4612" width="9.7265625" style="92" customWidth="1"/>
    <col min="4613" max="4613" width="24.90625" style="92" customWidth="1"/>
    <col min="4614" max="4615" width="15.6328125" style="92" customWidth="1"/>
    <col min="4616" max="4616" width="17.36328125" style="92" customWidth="1"/>
    <col min="4617" max="4864" width="9.08984375" style="92"/>
    <col min="4865" max="4865" width="21.6328125" style="92" customWidth="1"/>
    <col min="4866" max="4866" width="17.6328125" style="92" customWidth="1"/>
    <col min="4867" max="4867" width="23.36328125" style="92" customWidth="1"/>
    <col min="4868" max="4868" width="9.7265625" style="92" customWidth="1"/>
    <col min="4869" max="4869" width="24.90625" style="92" customWidth="1"/>
    <col min="4870" max="4871" width="15.6328125" style="92" customWidth="1"/>
    <col min="4872" max="4872" width="17.36328125" style="92" customWidth="1"/>
    <col min="4873" max="5120" width="9.08984375" style="92"/>
    <col min="5121" max="5121" width="21.6328125" style="92" customWidth="1"/>
    <col min="5122" max="5122" width="17.6328125" style="92" customWidth="1"/>
    <col min="5123" max="5123" width="23.36328125" style="92" customWidth="1"/>
    <col min="5124" max="5124" width="9.7265625" style="92" customWidth="1"/>
    <col min="5125" max="5125" width="24.90625" style="92" customWidth="1"/>
    <col min="5126" max="5127" width="15.6328125" style="92" customWidth="1"/>
    <col min="5128" max="5128" width="17.36328125" style="92" customWidth="1"/>
    <col min="5129" max="5376" width="9.08984375" style="92"/>
    <col min="5377" max="5377" width="21.6328125" style="92" customWidth="1"/>
    <col min="5378" max="5378" width="17.6328125" style="92" customWidth="1"/>
    <col min="5379" max="5379" width="23.36328125" style="92" customWidth="1"/>
    <col min="5380" max="5380" width="9.7265625" style="92" customWidth="1"/>
    <col min="5381" max="5381" width="24.90625" style="92" customWidth="1"/>
    <col min="5382" max="5383" width="15.6328125" style="92" customWidth="1"/>
    <col min="5384" max="5384" width="17.36328125" style="92" customWidth="1"/>
    <col min="5385" max="5632" width="9.08984375" style="92"/>
    <col min="5633" max="5633" width="21.6328125" style="92" customWidth="1"/>
    <col min="5634" max="5634" width="17.6328125" style="92" customWidth="1"/>
    <col min="5635" max="5635" width="23.36328125" style="92" customWidth="1"/>
    <col min="5636" max="5636" width="9.7265625" style="92" customWidth="1"/>
    <col min="5637" max="5637" width="24.90625" style="92" customWidth="1"/>
    <col min="5638" max="5639" width="15.6328125" style="92" customWidth="1"/>
    <col min="5640" max="5640" width="17.36328125" style="92" customWidth="1"/>
    <col min="5641" max="5888" width="9.08984375" style="92"/>
    <col min="5889" max="5889" width="21.6328125" style="92" customWidth="1"/>
    <col min="5890" max="5890" width="17.6328125" style="92" customWidth="1"/>
    <col min="5891" max="5891" width="23.36328125" style="92" customWidth="1"/>
    <col min="5892" max="5892" width="9.7265625" style="92" customWidth="1"/>
    <col min="5893" max="5893" width="24.90625" style="92" customWidth="1"/>
    <col min="5894" max="5895" width="15.6328125" style="92" customWidth="1"/>
    <col min="5896" max="5896" width="17.36328125" style="92" customWidth="1"/>
    <col min="5897" max="6144" width="9.08984375" style="92"/>
    <col min="6145" max="6145" width="21.6328125" style="92" customWidth="1"/>
    <col min="6146" max="6146" width="17.6328125" style="92" customWidth="1"/>
    <col min="6147" max="6147" width="23.36328125" style="92" customWidth="1"/>
    <col min="6148" max="6148" width="9.7265625" style="92" customWidth="1"/>
    <col min="6149" max="6149" width="24.90625" style="92" customWidth="1"/>
    <col min="6150" max="6151" width="15.6328125" style="92" customWidth="1"/>
    <col min="6152" max="6152" width="17.36328125" style="92" customWidth="1"/>
    <col min="6153" max="6400" width="9.08984375" style="92"/>
    <col min="6401" max="6401" width="21.6328125" style="92" customWidth="1"/>
    <col min="6402" max="6402" width="17.6328125" style="92" customWidth="1"/>
    <col min="6403" max="6403" width="23.36328125" style="92" customWidth="1"/>
    <col min="6404" max="6404" width="9.7265625" style="92" customWidth="1"/>
    <col min="6405" max="6405" width="24.90625" style="92" customWidth="1"/>
    <col min="6406" max="6407" width="15.6328125" style="92" customWidth="1"/>
    <col min="6408" max="6408" width="17.36328125" style="92" customWidth="1"/>
    <col min="6409" max="6656" width="9.08984375" style="92"/>
    <col min="6657" max="6657" width="21.6328125" style="92" customWidth="1"/>
    <col min="6658" max="6658" width="17.6328125" style="92" customWidth="1"/>
    <col min="6659" max="6659" width="23.36328125" style="92" customWidth="1"/>
    <col min="6660" max="6660" width="9.7265625" style="92" customWidth="1"/>
    <col min="6661" max="6661" width="24.90625" style="92" customWidth="1"/>
    <col min="6662" max="6663" width="15.6328125" style="92" customWidth="1"/>
    <col min="6664" max="6664" width="17.36328125" style="92" customWidth="1"/>
    <col min="6665" max="6912" width="9.08984375" style="92"/>
    <col min="6913" max="6913" width="21.6328125" style="92" customWidth="1"/>
    <col min="6914" max="6914" width="17.6328125" style="92" customWidth="1"/>
    <col min="6915" max="6915" width="23.36328125" style="92" customWidth="1"/>
    <col min="6916" max="6916" width="9.7265625" style="92" customWidth="1"/>
    <col min="6917" max="6917" width="24.90625" style="92" customWidth="1"/>
    <col min="6918" max="6919" width="15.6328125" style="92" customWidth="1"/>
    <col min="6920" max="6920" width="17.36328125" style="92" customWidth="1"/>
    <col min="6921" max="7168" width="9.08984375" style="92"/>
    <col min="7169" max="7169" width="21.6328125" style="92" customWidth="1"/>
    <col min="7170" max="7170" width="17.6328125" style="92" customWidth="1"/>
    <col min="7171" max="7171" width="23.36328125" style="92" customWidth="1"/>
    <col min="7172" max="7172" width="9.7265625" style="92" customWidth="1"/>
    <col min="7173" max="7173" width="24.90625" style="92" customWidth="1"/>
    <col min="7174" max="7175" width="15.6328125" style="92" customWidth="1"/>
    <col min="7176" max="7176" width="17.36328125" style="92" customWidth="1"/>
    <col min="7177" max="7424" width="9.08984375" style="92"/>
    <col min="7425" max="7425" width="21.6328125" style="92" customWidth="1"/>
    <col min="7426" max="7426" width="17.6328125" style="92" customWidth="1"/>
    <col min="7427" max="7427" width="23.36328125" style="92" customWidth="1"/>
    <col min="7428" max="7428" width="9.7265625" style="92" customWidth="1"/>
    <col min="7429" max="7429" width="24.90625" style="92" customWidth="1"/>
    <col min="7430" max="7431" width="15.6328125" style="92" customWidth="1"/>
    <col min="7432" max="7432" width="17.36328125" style="92" customWidth="1"/>
    <col min="7433" max="7680" width="9.08984375" style="92"/>
    <col min="7681" max="7681" width="21.6328125" style="92" customWidth="1"/>
    <col min="7682" max="7682" width="17.6328125" style="92" customWidth="1"/>
    <col min="7683" max="7683" width="23.36328125" style="92" customWidth="1"/>
    <col min="7684" max="7684" width="9.7265625" style="92" customWidth="1"/>
    <col min="7685" max="7685" width="24.90625" style="92" customWidth="1"/>
    <col min="7686" max="7687" width="15.6328125" style="92" customWidth="1"/>
    <col min="7688" max="7688" width="17.36328125" style="92" customWidth="1"/>
    <col min="7689" max="7936" width="9.08984375" style="92"/>
    <col min="7937" max="7937" width="21.6328125" style="92" customWidth="1"/>
    <col min="7938" max="7938" width="17.6328125" style="92" customWidth="1"/>
    <col min="7939" max="7939" width="23.36328125" style="92" customWidth="1"/>
    <col min="7940" max="7940" width="9.7265625" style="92" customWidth="1"/>
    <col min="7941" max="7941" width="24.90625" style="92" customWidth="1"/>
    <col min="7942" max="7943" width="15.6328125" style="92" customWidth="1"/>
    <col min="7944" max="7944" width="17.36328125" style="92" customWidth="1"/>
    <col min="7945" max="8192" width="9.08984375" style="92"/>
    <col min="8193" max="8193" width="21.6328125" style="92" customWidth="1"/>
    <col min="8194" max="8194" width="17.6328125" style="92" customWidth="1"/>
    <col min="8195" max="8195" width="23.36328125" style="92" customWidth="1"/>
    <col min="8196" max="8196" width="9.7265625" style="92" customWidth="1"/>
    <col min="8197" max="8197" width="24.90625" style="92" customWidth="1"/>
    <col min="8198" max="8199" width="15.6328125" style="92" customWidth="1"/>
    <col min="8200" max="8200" width="17.36328125" style="92" customWidth="1"/>
    <col min="8201" max="8448" width="9.08984375" style="92"/>
    <col min="8449" max="8449" width="21.6328125" style="92" customWidth="1"/>
    <col min="8450" max="8450" width="17.6328125" style="92" customWidth="1"/>
    <col min="8451" max="8451" width="23.36328125" style="92" customWidth="1"/>
    <col min="8452" max="8452" width="9.7265625" style="92" customWidth="1"/>
    <col min="8453" max="8453" width="24.90625" style="92" customWidth="1"/>
    <col min="8454" max="8455" width="15.6328125" style="92" customWidth="1"/>
    <col min="8456" max="8456" width="17.36328125" style="92" customWidth="1"/>
    <col min="8457" max="8704" width="9.08984375" style="92"/>
    <col min="8705" max="8705" width="21.6328125" style="92" customWidth="1"/>
    <col min="8706" max="8706" width="17.6328125" style="92" customWidth="1"/>
    <col min="8707" max="8707" width="23.36328125" style="92" customWidth="1"/>
    <col min="8708" max="8708" width="9.7265625" style="92" customWidth="1"/>
    <col min="8709" max="8709" width="24.90625" style="92" customWidth="1"/>
    <col min="8710" max="8711" width="15.6328125" style="92" customWidth="1"/>
    <col min="8712" max="8712" width="17.36328125" style="92" customWidth="1"/>
    <col min="8713" max="8960" width="9.08984375" style="92"/>
    <col min="8961" max="8961" width="21.6328125" style="92" customWidth="1"/>
    <col min="8962" max="8962" width="17.6328125" style="92" customWidth="1"/>
    <col min="8963" max="8963" width="23.36328125" style="92" customWidth="1"/>
    <col min="8964" max="8964" width="9.7265625" style="92" customWidth="1"/>
    <col min="8965" max="8965" width="24.90625" style="92" customWidth="1"/>
    <col min="8966" max="8967" width="15.6328125" style="92" customWidth="1"/>
    <col min="8968" max="8968" width="17.36328125" style="92" customWidth="1"/>
    <col min="8969" max="9216" width="9.08984375" style="92"/>
    <col min="9217" max="9217" width="21.6328125" style="92" customWidth="1"/>
    <col min="9218" max="9218" width="17.6328125" style="92" customWidth="1"/>
    <col min="9219" max="9219" width="23.36328125" style="92" customWidth="1"/>
    <col min="9220" max="9220" width="9.7265625" style="92" customWidth="1"/>
    <col min="9221" max="9221" width="24.90625" style="92" customWidth="1"/>
    <col min="9222" max="9223" width="15.6328125" style="92" customWidth="1"/>
    <col min="9224" max="9224" width="17.36328125" style="92" customWidth="1"/>
    <col min="9225" max="9472" width="9.08984375" style="92"/>
    <col min="9473" max="9473" width="21.6328125" style="92" customWidth="1"/>
    <col min="9474" max="9474" width="17.6328125" style="92" customWidth="1"/>
    <col min="9475" max="9475" width="23.36328125" style="92" customWidth="1"/>
    <col min="9476" max="9476" width="9.7265625" style="92" customWidth="1"/>
    <col min="9477" max="9477" width="24.90625" style="92" customWidth="1"/>
    <col min="9478" max="9479" width="15.6328125" style="92" customWidth="1"/>
    <col min="9480" max="9480" width="17.36328125" style="92" customWidth="1"/>
    <col min="9481" max="9728" width="9.08984375" style="92"/>
    <col min="9729" max="9729" width="21.6328125" style="92" customWidth="1"/>
    <col min="9730" max="9730" width="17.6328125" style="92" customWidth="1"/>
    <col min="9731" max="9731" width="23.36328125" style="92" customWidth="1"/>
    <col min="9732" max="9732" width="9.7265625" style="92" customWidth="1"/>
    <col min="9733" max="9733" width="24.90625" style="92" customWidth="1"/>
    <col min="9734" max="9735" width="15.6328125" style="92" customWidth="1"/>
    <col min="9736" max="9736" width="17.36328125" style="92" customWidth="1"/>
    <col min="9737" max="9984" width="9.08984375" style="92"/>
    <col min="9985" max="9985" width="21.6328125" style="92" customWidth="1"/>
    <col min="9986" max="9986" width="17.6328125" style="92" customWidth="1"/>
    <col min="9987" max="9987" width="23.36328125" style="92" customWidth="1"/>
    <col min="9988" max="9988" width="9.7265625" style="92" customWidth="1"/>
    <col min="9989" max="9989" width="24.90625" style="92" customWidth="1"/>
    <col min="9990" max="9991" width="15.6328125" style="92" customWidth="1"/>
    <col min="9992" max="9992" width="17.36328125" style="92" customWidth="1"/>
    <col min="9993" max="10240" width="9.08984375" style="92"/>
    <col min="10241" max="10241" width="21.6328125" style="92" customWidth="1"/>
    <col min="10242" max="10242" width="17.6328125" style="92" customWidth="1"/>
    <col min="10243" max="10243" width="23.36328125" style="92" customWidth="1"/>
    <col min="10244" max="10244" width="9.7265625" style="92" customWidth="1"/>
    <col min="10245" max="10245" width="24.90625" style="92" customWidth="1"/>
    <col min="10246" max="10247" width="15.6328125" style="92" customWidth="1"/>
    <col min="10248" max="10248" width="17.36328125" style="92" customWidth="1"/>
    <col min="10249" max="10496" width="9.08984375" style="92"/>
    <col min="10497" max="10497" width="21.6328125" style="92" customWidth="1"/>
    <col min="10498" max="10498" width="17.6328125" style="92" customWidth="1"/>
    <col min="10499" max="10499" width="23.36328125" style="92" customWidth="1"/>
    <col min="10500" max="10500" width="9.7265625" style="92" customWidth="1"/>
    <col min="10501" max="10501" width="24.90625" style="92" customWidth="1"/>
    <col min="10502" max="10503" width="15.6328125" style="92" customWidth="1"/>
    <col min="10504" max="10504" width="17.36328125" style="92" customWidth="1"/>
    <col min="10505" max="10752" width="9.08984375" style="92"/>
    <col min="10753" max="10753" width="21.6328125" style="92" customWidth="1"/>
    <col min="10754" max="10754" width="17.6328125" style="92" customWidth="1"/>
    <col min="10755" max="10755" width="23.36328125" style="92" customWidth="1"/>
    <col min="10756" max="10756" width="9.7265625" style="92" customWidth="1"/>
    <col min="10757" max="10757" width="24.90625" style="92" customWidth="1"/>
    <col min="10758" max="10759" width="15.6328125" style="92" customWidth="1"/>
    <col min="10760" max="10760" width="17.36328125" style="92" customWidth="1"/>
    <col min="10761" max="11008" width="9.08984375" style="92"/>
    <col min="11009" max="11009" width="21.6328125" style="92" customWidth="1"/>
    <col min="11010" max="11010" width="17.6328125" style="92" customWidth="1"/>
    <col min="11011" max="11011" width="23.36328125" style="92" customWidth="1"/>
    <col min="11012" max="11012" width="9.7265625" style="92" customWidth="1"/>
    <col min="11013" max="11013" width="24.90625" style="92" customWidth="1"/>
    <col min="11014" max="11015" width="15.6328125" style="92" customWidth="1"/>
    <col min="11016" max="11016" width="17.36328125" style="92" customWidth="1"/>
    <col min="11017" max="11264" width="9.08984375" style="92"/>
    <col min="11265" max="11265" width="21.6328125" style="92" customWidth="1"/>
    <col min="11266" max="11266" width="17.6328125" style="92" customWidth="1"/>
    <col min="11267" max="11267" width="23.36328125" style="92" customWidth="1"/>
    <col min="11268" max="11268" width="9.7265625" style="92" customWidth="1"/>
    <col min="11269" max="11269" width="24.90625" style="92" customWidth="1"/>
    <col min="11270" max="11271" width="15.6328125" style="92" customWidth="1"/>
    <col min="11272" max="11272" width="17.36328125" style="92" customWidth="1"/>
    <col min="11273" max="11520" width="9.08984375" style="92"/>
    <col min="11521" max="11521" width="21.6328125" style="92" customWidth="1"/>
    <col min="11522" max="11522" width="17.6328125" style="92" customWidth="1"/>
    <col min="11523" max="11523" width="23.36328125" style="92" customWidth="1"/>
    <col min="11524" max="11524" width="9.7265625" style="92" customWidth="1"/>
    <col min="11525" max="11525" width="24.90625" style="92" customWidth="1"/>
    <col min="11526" max="11527" width="15.6328125" style="92" customWidth="1"/>
    <col min="11528" max="11528" width="17.36328125" style="92" customWidth="1"/>
    <col min="11529" max="11776" width="9.08984375" style="92"/>
    <col min="11777" max="11777" width="21.6328125" style="92" customWidth="1"/>
    <col min="11778" max="11778" width="17.6328125" style="92" customWidth="1"/>
    <col min="11779" max="11779" width="23.36328125" style="92" customWidth="1"/>
    <col min="11780" max="11780" width="9.7265625" style="92" customWidth="1"/>
    <col min="11781" max="11781" width="24.90625" style="92" customWidth="1"/>
    <col min="11782" max="11783" width="15.6328125" style="92" customWidth="1"/>
    <col min="11784" max="11784" width="17.36328125" style="92" customWidth="1"/>
    <col min="11785" max="12032" width="9.08984375" style="92"/>
    <col min="12033" max="12033" width="21.6328125" style="92" customWidth="1"/>
    <col min="12034" max="12034" width="17.6328125" style="92" customWidth="1"/>
    <col min="12035" max="12035" width="23.36328125" style="92" customWidth="1"/>
    <col min="12036" max="12036" width="9.7265625" style="92" customWidth="1"/>
    <col min="12037" max="12037" width="24.90625" style="92" customWidth="1"/>
    <col min="12038" max="12039" width="15.6328125" style="92" customWidth="1"/>
    <col min="12040" max="12040" width="17.36328125" style="92" customWidth="1"/>
    <col min="12041" max="12288" width="9.08984375" style="92"/>
    <col min="12289" max="12289" width="21.6328125" style="92" customWidth="1"/>
    <col min="12290" max="12290" width="17.6328125" style="92" customWidth="1"/>
    <col min="12291" max="12291" width="23.36328125" style="92" customWidth="1"/>
    <col min="12292" max="12292" width="9.7265625" style="92" customWidth="1"/>
    <col min="12293" max="12293" width="24.90625" style="92" customWidth="1"/>
    <col min="12294" max="12295" width="15.6328125" style="92" customWidth="1"/>
    <col min="12296" max="12296" width="17.36328125" style="92" customWidth="1"/>
    <col min="12297" max="12544" width="9.08984375" style="92"/>
    <col min="12545" max="12545" width="21.6328125" style="92" customWidth="1"/>
    <col min="12546" max="12546" width="17.6328125" style="92" customWidth="1"/>
    <col min="12547" max="12547" width="23.36328125" style="92" customWidth="1"/>
    <col min="12548" max="12548" width="9.7265625" style="92" customWidth="1"/>
    <col min="12549" max="12549" width="24.90625" style="92" customWidth="1"/>
    <col min="12550" max="12551" width="15.6328125" style="92" customWidth="1"/>
    <col min="12552" max="12552" width="17.36328125" style="92" customWidth="1"/>
    <col min="12553" max="12800" width="9.08984375" style="92"/>
    <col min="12801" max="12801" width="21.6328125" style="92" customWidth="1"/>
    <col min="12802" max="12802" width="17.6328125" style="92" customWidth="1"/>
    <col min="12803" max="12803" width="23.36328125" style="92" customWidth="1"/>
    <col min="12804" max="12804" width="9.7265625" style="92" customWidth="1"/>
    <col min="12805" max="12805" width="24.90625" style="92" customWidth="1"/>
    <col min="12806" max="12807" width="15.6328125" style="92" customWidth="1"/>
    <col min="12808" max="12808" width="17.36328125" style="92" customWidth="1"/>
    <col min="12809" max="13056" width="9.08984375" style="92"/>
    <col min="13057" max="13057" width="21.6328125" style="92" customWidth="1"/>
    <col min="13058" max="13058" width="17.6328125" style="92" customWidth="1"/>
    <col min="13059" max="13059" width="23.36328125" style="92" customWidth="1"/>
    <col min="13060" max="13060" width="9.7265625" style="92" customWidth="1"/>
    <col min="13061" max="13061" width="24.90625" style="92" customWidth="1"/>
    <col min="13062" max="13063" width="15.6328125" style="92" customWidth="1"/>
    <col min="13064" max="13064" width="17.36328125" style="92" customWidth="1"/>
    <col min="13065" max="13312" width="9.08984375" style="92"/>
    <col min="13313" max="13313" width="21.6328125" style="92" customWidth="1"/>
    <col min="13314" max="13314" width="17.6328125" style="92" customWidth="1"/>
    <col min="13315" max="13315" width="23.36328125" style="92" customWidth="1"/>
    <col min="13316" max="13316" width="9.7265625" style="92" customWidth="1"/>
    <col min="13317" max="13317" width="24.90625" style="92" customWidth="1"/>
    <col min="13318" max="13319" width="15.6328125" style="92" customWidth="1"/>
    <col min="13320" max="13320" width="17.36328125" style="92" customWidth="1"/>
    <col min="13321" max="13568" width="9.08984375" style="92"/>
    <col min="13569" max="13569" width="21.6328125" style="92" customWidth="1"/>
    <col min="13570" max="13570" width="17.6328125" style="92" customWidth="1"/>
    <col min="13571" max="13571" width="23.36328125" style="92" customWidth="1"/>
    <col min="13572" max="13572" width="9.7265625" style="92" customWidth="1"/>
    <col min="13573" max="13573" width="24.90625" style="92" customWidth="1"/>
    <col min="13574" max="13575" width="15.6328125" style="92" customWidth="1"/>
    <col min="13576" max="13576" width="17.36328125" style="92" customWidth="1"/>
    <col min="13577" max="13824" width="9.08984375" style="92"/>
    <col min="13825" max="13825" width="21.6328125" style="92" customWidth="1"/>
    <col min="13826" max="13826" width="17.6328125" style="92" customWidth="1"/>
    <col min="13827" max="13827" width="23.36328125" style="92" customWidth="1"/>
    <col min="13828" max="13828" width="9.7265625" style="92" customWidth="1"/>
    <col min="13829" max="13829" width="24.90625" style="92" customWidth="1"/>
    <col min="13830" max="13831" width="15.6328125" style="92" customWidth="1"/>
    <col min="13832" max="13832" width="17.36328125" style="92" customWidth="1"/>
    <col min="13833" max="14080" width="9.08984375" style="92"/>
    <col min="14081" max="14081" width="21.6328125" style="92" customWidth="1"/>
    <col min="14082" max="14082" width="17.6328125" style="92" customWidth="1"/>
    <col min="14083" max="14083" width="23.36328125" style="92" customWidth="1"/>
    <col min="14084" max="14084" width="9.7265625" style="92" customWidth="1"/>
    <col min="14085" max="14085" width="24.90625" style="92" customWidth="1"/>
    <col min="14086" max="14087" width="15.6328125" style="92" customWidth="1"/>
    <col min="14088" max="14088" width="17.36328125" style="92" customWidth="1"/>
    <col min="14089" max="14336" width="9.08984375" style="92"/>
    <col min="14337" max="14337" width="21.6328125" style="92" customWidth="1"/>
    <col min="14338" max="14338" width="17.6328125" style="92" customWidth="1"/>
    <col min="14339" max="14339" width="23.36328125" style="92" customWidth="1"/>
    <col min="14340" max="14340" width="9.7265625" style="92" customWidth="1"/>
    <col min="14341" max="14341" width="24.90625" style="92" customWidth="1"/>
    <col min="14342" max="14343" width="15.6328125" style="92" customWidth="1"/>
    <col min="14344" max="14344" width="17.36328125" style="92" customWidth="1"/>
    <col min="14345" max="14592" width="9.08984375" style="92"/>
    <col min="14593" max="14593" width="21.6328125" style="92" customWidth="1"/>
    <col min="14594" max="14594" width="17.6328125" style="92" customWidth="1"/>
    <col min="14595" max="14595" width="23.36328125" style="92" customWidth="1"/>
    <col min="14596" max="14596" width="9.7265625" style="92" customWidth="1"/>
    <col min="14597" max="14597" width="24.90625" style="92" customWidth="1"/>
    <col min="14598" max="14599" width="15.6328125" style="92" customWidth="1"/>
    <col min="14600" max="14600" width="17.36328125" style="92" customWidth="1"/>
    <col min="14601" max="14848" width="9.08984375" style="92"/>
    <col min="14849" max="14849" width="21.6328125" style="92" customWidth="1"/>
    <col min="14850" max="14850" width="17.6328125" style="92" customWidth="1"/>
    <col min="14851" max="14851" width="23.36328125" style="92" customWidth="1"/>
    <col min="14852" max="14852" width="9.7265625" style="92" customWidth="1"/>
    <col min="14853" max="14853" width="24.90625" style="92" customWidth="1"/>
    <col min="14854" max="14855" width="15.6328125" style="92" customWidth="1"/>
    <col min="14856" max="14856" width="17.36328125" style="92" customWidth="1"/>
    <col min="14857" max="15104" width="9.08984375" style="92"/>
    <col min="15105" max="15105" width="21.6328125" style="92" customWidth="1"/>
    <col min="15106" max="15106" width="17.6328125" style="92" customWidth="1"/>
    <col min="15107" max="15107" width="23.36328125" style="92" customWidth="1"/>
    <col min="15108" max="15108" width="9.7265625" style="92" customWidth="1"/>
    <col min="15109" max="15109" width="24.90625" style="92" customWidth="1"/>
    <col min="15110" max="15111" width="15.6328125" style="92" customWidth="1"/>
    <col min="15112" max="15112" width="17.36328125" style="92" customWidth="1"/>
    <col min="15113" max="15360" width="9.08984375" style="92"/>
    <col min="15361" max="15361" width="21.6328125" style="92" customWidth="1"/>
    <col min="15362" max="15362" width="17.6328125" style="92" customWidth="1"/>
    <col min="15363" max="15363" width="23.36328125" style="92" customWidth="1"/>
    <col min="15364" max="15364" width="9.7265625" style="92" customWidth="1"/>
    <col min="15365" max="15365" width="24.90625" style="92" customWidth="1"/>
    <col min="15366" max="15367" width="15.6328125" style="92" customWidth="1"/>
    <col min="15368" max="15368" width="17.36328125" style="92" customWidth="1"/>
    <col min="15369" max="15616" width="9.08984375" style="92"/>
    <col min="15617" max="15617" width="21.6328125" style="92" customWidth="1"/>
    <col min="15618" max="15618" width="17.6328125" style="92" customWidth="1"/>
    <col min="15619" max="15619" width="23.36328125" style="92" customWidth="1"/>
    <col min="15620" max="15620" width="9.7265625" style="92" customWidth="1"/>
    <col min="15621" max="15621" width="24.90625" style="92" customWidth="1"/>
    <col min="15622" max="15623" width="15.6328125" style="92" customWidth="1"/>
    <col min="15624" max="15624" width="17.36328125" style="92" customWidth="1"/>
    <col min="15625" max="15872" width="9.08984375" style="92"/>
    <col min="15873" max="15873" width="21.6328125" style="92" customWidth="1"/>
    <col min="15874" max="15874" width="17.6328125" style="92" customWidth="1"/>
    <col min="15875" max="15875" width="23.36328125" style="92" customWidth="1"/>
    <col min="15876" max="15876" width="9.7265625" style="92" customWidth="1"/>
    <col min="15877" max="15877" width="24.90625" style="92" customWidth="1"/>
    <col min="15878" max="15879" width="15.6328125" style="92" customWidth="1"/>
    <col min="15880" max="15880" width="17.36328125" style="92" customWidth="1"/>
    <col min="15881" max="16128" width="9.08984375" style="92"/>
    <col min="16129" max="16129" width="21.6328125" style="92" customWidth="1"/>
    <col min="16130" max="16130" width="17.6328125" style="92" customWidth="1"/>
    <col min="16131" max="16131" width="23.36328125" style="92" customWidth="1"/>
    <col min="16132" max="16132" width="9.7265625" style="92" customWidth="1"/>
    <col min="16133" max="16133" width="24.90625" style="92" customWidth="1"/>
    <col min="16134" max="16135" width="15.6328125" style="92" customWidth="1"/>
    <col min="16136" max="16136" width="17.36328125" style="92" customWidth="1"/>
    <col min="16137" max="16384" width="9.08984375" style="92"/>
  </cols>
  <sheetData>
    <row r="2" spans="1:17" ht="23.5">
      <c r="A2" s="1407" t="s">
        <v>1133</v>
      </c>
      <c r="B2" s="1408"/>
      <c r="C2" s="1408"/>
      <c r="D2" s="1408"/>
      <c r="E2" s="1408"/>
      <c r="F2" s="1408"/>
      <c r="G2" s="1408"/>
      <c r="H2" s="1408"/>
      <c r="I2" s="103"/>
      <c r="J2" s="103"/>
      <c r="K2" s="103"/>
      <c r="L2" s="103"/>
      <c r="M2" s="103"/>
      <c r="N2" s="103"/>
      <c r="O2" s="103"/>
      <c r="P2" s="103"/>
      <c r="Q2" s="103"/>
    </row>
    <row r="3" spans="1:17" ht="31">
      <c r="A3" s="104" t="s">
        <v>42</v>
      </c>
      <c r="B3" s="104" t="s">
        <v>1134</v>
      </c>
      <c r="C3" s="104" t="s">
        <v>1135</v>
      </c>
      <c r="D3" s="104" t="s">
        <v>1136</v>
      </c>
      <c r="E3" s="105" t="s">
        <v>1137</v>
      </c>
      <c r="F3" s="105" t="s">
        <v>1138</v>
      </c>
      <c r="G3" s="105" t="s">
        <v>1139</v>
      </c>
      <c r="H3" s="105" t="s">
        <v>1140</v>
      </c>
    </row>
    <row r="4" spans="1:17">
      <c r="A4" s="1144" t="s">
        <v>1141</v>
      </c>
      <c r="B4" s="1145" t="s">
        <v>1142</v>
      </c>
      <c r="C4" s="1146" t="s">
        <v>1143</v>
      </c>
      <c r="D4" s="1147" t="s">
        <v>583</v>
      </c>
      <c r="E4" s="1147" t="s">
        <v>1144</v>
      </c>
      <c r="F4" s="125" t="s">
        <v>588</v>
      </c>
      <c r="G4" s="1148"/>
      <c r="H4" s="1149"/>
    </row>
    <row r="5" spans="1:17">
      <c r="A5" s="1144" t="s">
        <v>1141</v>
      </c>
      <c r="B5" s="1145" t="s">
        <v>1142</v>
      </c>
      <c r="C5" s="1146" t="s">
        <v>1143</v>
      </c>
      <c r="D5" s="1147" t="s">
        <v>589</v>
      </c>
      <c r="E5" s="1147" t="s">
        <v>1145</v>
      </c>
      <c r="F5" s="125" t="s">
        <v>588</v>
      </c>
      <c r="G5" s="1148"/>
      <c r="H5" s="1149"/>
    </row>
    <row r="6" spans="1:17">
      <c r="A6" s="1144" t="s">
        <v>1141</v>
      </c>
      <c r="B6" s="1145" t="s">
        <v>1142</v>
      </c>
      <c r="C6" s="1146" t="s">
        <v>1143</v>
      </c>
      <c r="D6" s="1147" t="s">
        <v>590</v>
      </c>
      <c r="E6" s="1147" t="s">
        <v>1146</v>
      </c>
      <c r="F6" s="125" t="s">
        <v>588</v>
      </c>
      <c r="G6" s="1148"/>
      <c r="H6" s="1149"/>
    </row>
    <row r="7" spans="1:17">
      <c r="A7" s="1144" t="s">
        <v>1141</v>
      </c>
      <c r="B7" s="1145" t="s">
        <v>1142</v>
      </c>
      <c r="C7" s="1146" t="s">
        <v>1143</v>
      </c>
      <c r="D7" s="1147" t="s">
        <v>593</v>
      </c>
      <c r="E7" s="1147" t="s">
        <v>1147</v>
      </c>
      <c r="F7" s="125" t="s">
        <v>588</v>
      </c>
      <c r="G7" s="1148"/>
      <c r="H7" s="1149"/>
    </row>
    <row r="8" spans="1:17">
      <c r="A8" s="1144" t="s">
        <v>1141</v>
      </c>
      <c r="B8" s="1145" t="s">
        <v>1142</v>
      </c>
      <c r="C8" s="1146" t="s">
        <v>1143</v>
      </c>
      <c r="D8" s="1147" t="s">
        <v>596</v>
      </c>
      <c r="E8" s="1147" t="s">
        <v>1148</v>
      </c>
      <c r="F8" s="125" t="s">
        <v>78</v>
      </c>
      <c r="G8" s="1148"/>
      <c r="H8" s="1149"/>
    </row>
    <row r="9" spans="1:17">
      <c r="A9" s="1144" t="s">
        <v>1141</v>
      </c>
      <c r="B9" s="1145" t="s">
        <v>1142</v>
      </c>
      <c r="C9" s="1146" t="s">
        <v>1143</v>
      </c>
      <c r="D9" s="1147" t="s">
        <v>598</v>
      </c>
      <c r="E9" s="1147" t="s">
        <v>1149</v>
      </c>
      <c r="F9" s="125" t="s">
        <v>78</v>
      </c>
      <c r="G9" s="1148"/>
      <c r="H9" s="1149"/>
    </row>
    <row r="10" spans="1:17">
      <c r="A10" s="1144" t="s">
        <v>1141</v>
      </c>
      <c r="B10" s="1145" t="s">
        <v>1142</v>
      </c>
      <c r="C10" s="1146" t="s">
        <v>1143</v>
      </c>
      <c r="D10" s="1147" t="s">
        <v>601</v>
      </c>
      <c r="E10" s="1147" t="s">
        <v>1150</v>
      </c>
      <c r="F10" s="125" t="s">
        <v>78</v>
      </c>
      <c r="G10" s="1148"/>
      <c r="H10" s="1149"/>
    </row>
    <row r="11" spans="1:17">
      <c r="A11" s="1144" t="s">
        <v>1141</v>
      </c>
      <c r="B11" s="1145" t="s">
        <v>1142</v>
      </c>
      <c r="C11" s="1146" t="s">
        <v>1143</v>
      </c>
      <c r="D11" s="1147" t="s">
        <v>604</v>
      </c>
      <c r="E11" s="1147" t="s">
        <v>1151</v>
      </c>
      <c r="F11" s="125" t="s">
        <v>588</v>
      </c>
      <c r="G11" s="1148"/>
      <c r="H11" s="1149"/>
    </row>
    <row r="12" spans="1:17">
      <c r="A12" s="1144" t="s">
        <v>1141</v>
      </c>
      <c r="B12" s="1145" t="s">
        <v>1142</v>
      </c>
      <c r="C12" s="1146" t="s">
        <v>1143</v>
      </c>
      <c r="D12" s="1147" t="s">
        <v>609</v>
      </c>
      <c r="E12" s="1147" t="s">
        <v>1152</v>
      </c>
      <c r="F12" s="125" t="s">
        <v>78</v>
      </c>
      <c r="G12" s="1148"/>
      <c r="H12" s="1149"/>
    </row>
    <row r="13" spans="1:17">
      <c r="A13" s="1144" t="s">
        <v>1141</v>
      </c>
      <c r="B13" s="1145" t="s">
        <v>1153</v>
      </c>
      <c r="C13" s="1146" t="s">
        <v>1154</v>
      </c>
      <c r="D13" s="1147" t="s">
        <v>612</v>
      </c>
      <c r="E13" s="1147" t="s">
        <v>1155</v>
      </c>
      <c r="F13" s="1150" t="s">
        <v>78</v>
      </c>
      <c r="G13" s="1148"/>
      <c r="H13" s="1149"/>
    </row>
    <row r="14" spans="1:17">
      <c r="A14" s="1144" t="s">
        <v>1141</v>
      </c>
      <c r="B14" s="1145" t="s">
        <v>1153</v>
      </c>
      <c r="C14" s="1146" t="s">
        <v>1156</v>
      </c>
      <c r="D14" s="1147" t="s">
        <v>615</v>
      </c>
      <c r="E14" s="1147" t="s">
        <v>1157</v>
      </c>
      <c r="F14" s="125" t="s">
        <v>78</v>
      </c>
      <c r="G14" s="1148"/>
      <c r="H14" s="1149"/>
    </row>
    <row r="15" spans="1:17">
      <c r="A15" s="1144" t="s">
        <v>1141</v>
      </c>
      <c r="B15" s="1145" t="s">
        <v>1153</v>
      </c>
      <c r="C15" s="1146" t="s">
        <v>1156</v>
      </c>
      <c r="D15" s="1147" t="s">
        <v>620</v>
      </c>
      <c r="E15" s="1147" t="s">
        <v>1158</v>
      </c>
      <c r="F15" s="125" t="s">
        <v>78</v>
      </c>
      <c r="G15" s="1148"/>
      <c r="H15" s="1149"/>
    </row>
    <row r="16" spans="1:17">
      <c r="A16" s="1144" t="s">
        <v>1141</v>
      </c>
      <c r="B16" s="1145" t="s">
        <v>1153</v>
      </c>
      <c r="C16" s="1146" t="s">
        <v>1156</v>
      </c>
      <c r="D16" s="1147" t="s">
        <v>622</v>
      </c>
      <c r="E16" s="1147" t="s">
        <v>1159</v>
      </c>
      <c r="F16" s="125" t="s">
        <v>588</v>
      </c>
      <c r="G16" s="1148"/>
      <c r="H16" s="1149"/>
    </row>
    <row r="17" spans="1:8">
      <c r="A17" s="1144" t="s">
        <v>1141</v>
      </c>
      <c r="B17" s="1145" t="s">
        <v>1153</v>
      </c>
      <c r="C17" s="1146" t="s">
        <v>1156</v>
      </c>
      <c r="D17" s="1147" t="s">
        <v>625</v>
      </c>
      <c r="E17" s="1147" t="s">
        <v>1160</v>
      </c>
      <c r="F17" s="125" t="s">
        <v>588</v>
      </c>
      <c r="G17" s="1148"/>
      <c r="H17" s="1149"/>
    </row>
    <row r="18" spans="1:8">
      <c r="A18" s="1144" t="s">
        <v>1141</v>
      </c>
      <c r="B18" s="1145" t="s">
        <v>1153</v>
      </c>
      <c r="C18" s="1146" t="s">
        <v>1161</v>
      </c>
      <c r="D18" s="1147" t="s">
        <v>1162</v>
      </c>
      <c r="E18" s="1147" t="s">
        <v>1163</v>
      </c>
      <c r="F18" s="125" t="s">
        <v>78</v>
      </c>
      <c r="G18" s="1148"/>
      <c r="H18" s="1149"/>
    </row>
    <row r="19" spans="1:8">
      <c r="A19" s="1144" t="s">
        <v>1141</v>
      </c>
      <c r="B19" s="1145" t="s">
        <v>1153</v>
      </c>
      <c r="C19" s="1146" t="s">
        <v>1161</v>
      </c>
      <c r="D19" s="1147" t="s">
        <v>634</v>
      </c>
      <c r="E19" s="1147" t="s">
        <v>1164</v>
      </c>
      <c r="F19" s="125" t="s">
        <v>78</v>
      </c>
      <c r="G19" s="1148"/>
      <c r="H19" s="1149"/>
    </row>
    <row r="20" spans="1:8">
      <c r="A20" s="1144" t="s">
        <v>1141</v>
      </c>
      <c r="B20" s="1145" t="s">
        <v>1153</v>
      </c>
      <c r="C20" s="1146" t="s">
        <v>1161</v>
      </c>
      <c r="D20" s="1147" t="s">
        <v>638</v>
      </c>
      <c r="E20" s="1147" t="s">
        <v>1165</v>
      </c>
      <c r="F20" s="125" t="s">
        <v>588</v>
      </c>
      <c r="G20" s="1148"/>
      <c r="H20" s="1149"/>
    </row>
    <row r="21" spans="1:8">
      <c r="A21" s="1144" t="s">
        <v>1166</v>
      </c>
      <c r="B21" s="1145" t="s">
        <v>1167</v>
      </c>
      <c r="C21" s="1146" t="s">
        <v>1168</v>
      </c>
      <c r="D21" s="1147" t="s">
        <v>641</v>
      </c>
      <c r="E21" s="1147" t="s">
        <v>1169</v>
      </c>
      <c r="F21" s="1150" t="s">
        <v>78</v>
      </c>
      <c r="G21" s="1148"/>
      <c r="H21" s="1149"/>
    </row>
    <row r="22" spans="1:8">
      <c r="A22" s="1144" t="s">
        <v>1166</v>
      </c>
      <c r="B22" s="1145" t="s">
        <v>1170</v>
      </c>
      <c r="C22" s="1146" t="s">
        <v>1168</v>
      </c>
      <c r="D22" s="1147" t="s">
        <v>644</v>
      </c>
      <c r="E22" s="1147" t="s">
        <v>1171</v>
      </c>
      <c r="F22" s="1150" t="s">
        <v>78</v>
      </c>
      <c r="G22" s="1148"/>
      <c r="H22" s="1149"/>
    </row>
    <row r="23" spans="1:8">
      <c r="A23" s="1144" t="s">
        <v>1166</v>
      </c>
      <c r="B23" s="1145" t="s">
        <v>1170</v>
      </c>
      <c r="C23" s="1146" t="s">
        <v>1168</v>
      </c>
      <c r="D23" s="1147" t="s">
        <v>650</v>
      </c>
      <c r="E23" s="107" t="s">
        <v>1172</v>
      </c>
      <c r="F23" s="1150" t="s">
        <v>78</v>
      </c>
      <c r="G23" s="1148"/>
      <c r="H23" s="1149"/>
    </row>
    <row r="24" spans="1:8">
      <c r="A24" s="1144" t="s">
        <v>1166</v>
      </c>
      <c r="B24" s="1145" t="s">
        <v>1173</v>
      </c>
      <c r="C24" s="1146" t="s">
        <v>1174</v>
      </c>
      <c r="D24" s="1147" t="s">
        <v>651</v>
      </c>
      <c r="E24" s="107" t="s">
        <v>1175</v>
      </c>
      <c r="F24" s="125" t="s">
        <v>588</v>
      </c>
      <c r="G24" s="1148"/>
      <c r="H24" s="1149"/>
    </row>
    <row r="25" spans="1:8">
      <c r="A25" s="1144" t="s">
        <v>1166</v>
      </c>
      <c r="B25" s="1145" t="s">
        <v>1173</v>
      </c>
      <c r="C25" s="1146" t="s">
        <v>1174</v>
      </c>
      <c r="D25" s="1147" t="s">
        <v>660</v>
      </c>
      <c r="E25" s="107" t="s">
        <v>1176</v>
      </c>
      <c r="F25" s="125" t="s">
        <v>588</v>
      </c>
      <c r="G25" s="1148"/>
      <c r="H25" s="1149"/>
    </row>
    <row r="26" spans="1:8">
      <c r="A26" s="1144" t="s">
        <v>1166</v>
      </c>
      <c r="B26" s="1145" t="s">
        <v>1173</v>
      </c>
      <c r="C26" s="1146" t="s">
        <v>1174</v>
      </c>
      <c r="D26" s="1147" t="s">
        <v>663</v>
      </c>
      <c r="E26" s="107" t="s">
        <v>1177</v>
      </c>
      <c r="F26" s="125" t="s">
        <v>78</v>
      </c>
      <c r="G26" s="1148"/>
      <c r="H26" s="1149"/>
    </row>
    <row r="27" spans="1:8">
      <c r="A27" s="1144" t="s">
        <v>1178</v>
      </c>
      <c r="B27" s="1145" t="s">
        <v>1179</v>
      </c>
      <c r="C27" s="1146" t="s">
        <v>1180</v>
      </c>
      <c r="D27" s="1147" t="s">
        <v>697</v>
      </c>
      <c r="E27" s="107" t="s">
        <v>1181</v>
      </c>
      <c r="F27" s="1150" t="s">
        <v>588</v>
      </c>
      <c r="G27" s="1148"/>
      <c r="H27" s="1149"/>
    </row>
    <row r="28" spans="1:8">
      <c r="A28" s="1144" t="s">
        <v>1178</v>
      </c>
      <c r="B28" s="1145" t="s">
        <v>1179</v>
      </c>
      <c r="C28" s="1146" t="s">
        <v>1180</v>
      </c>
      <c r="D28" s="1147" t="s">
        <v>700</v>
      </c>
      <c r="E28" s="107" t="s">
        <v>1182</v>
      </c>
      <c r="F28" s="1150" t="s">
        <v>78</v>
      </c>
      <c r="G28" s="1148"/>
      <c r="H28" s="1149"/>
    </row>
    <row r="29" spans="1:8">
      <c r="A29" s="1144" t="s">
        <v>1178</v>
      </c>
      <c r="B29" s="1145" t="s">
        <v>1179</v>
      </c>
      <c r="C29" s="1146" t="s">
        <v>1180</v>
      </c>
      <c r="D29" s="1147" t="s">
        <v>703</v>
      </c>
      <c r="E29" s="107" t="s">
        <v>1183</v>
      </c>
      <c r="F29" s="1150" t="s">
        <v>588</v>
      </c>
      <c r="G29" s="1148"/>
      <c r="H29" s="1149"/>
    </row>
    <row r="30" spans="1:8">
      <c r="A30" s="1144" t="s">
        <v>1178</v>
      </c>
      <c r="B30" s="1145" t="s">
        <v>1179</v>
      </c>
      <c r="C30" s="1146" t="s">
        <v>1180</v>
      </c>
      <c r="D30" s="1147" t="s">
        <v>705</v>
      </c>
      <c r="E30" s="107" t="s">
        <v>1184</v>
      </c>
      <c r="F30" s="125" t="s">
        <v>588</v>
      </c>
      <c r="G30" s="1148"/>
      <c r="H30" s="1149"/>
    </row>
    <row r="31" spans="1:8">
      <c r="A31" s="1144" t="s">
        <v>1178</v>
      </c>
      <c r="B31" s="1145" t="s">
        <v>1179</v>
      </c>
      <c r="C31" s="1146" t="s">
        <v>1180</v>
      </c>
      <c r="D31" s="1147" t="s">
        <v>707</v>
      </c>
      <c r="E31" s="107" t="s">
        <v>1185</v>
      </c>
      <c r="F31" s="125" t="s">
        <v>588</v>
      </c>
      <c r="G31" s="1148"/>
      <c r="H31" s="1149"/>
    </row>
    <row r="32" spans="1:8">
      <c r="A32" s="1144" t="s">
        <v>1178</v>
      </c>
      <c r="B32" s="1145" t="s">
        <v>1179</v>
      </c>
      <c r="C32" s="1146" t="s">
        <v>1180</v>
      </c>
      <c r="D32" s="1147" t="s">
        <v>714</v>
      </c>
      <c r="E32" s="107" t="s">
        <v>1186</v>
      </c>
      <c r="F32" s="125" t="s">
        <v>588</v>
      </c>
      <c r="G32" s="1148"/>
      <c r="H32" s="1149"/>
    </row>
    <row r="33" spans="1:8">
      <c r="A33" s="1144" t="s">
        <v>1178</v>
      </c>
      <c r="B33" s="1145" t="s">
        <v>1179</v>
      </c>
      <c r="C33" s="1146" t="s">
        <v>1187</v>
      </c>
      <c r="D33" s="1147" t="s">
        <v>720</v>
      </c>
      <c r="E33" s="107" t="s">
        <v>1188</v>
      </c>
      <c r="F33" s="125" t="s">
        <v>78</v>
      </c>
      <c r="G33" s="1148"/>
      <c r="H33" s="1149"/>
    </row>
    <row r="34" spans="1:8">
      <c r="A34" s="1144" t="s">
        <v>1178</v>
      </c>
      <c r="B34" s="1145" t="s">
        <v>1179</v>
      </c>
      <c r="C34" s="1146" t="s">
        <v>1187</v>
      </c>
      <c r="D34" s="1147" t="s">
        <v>723</v>
      </c>
      <c r="E34" s="107" t="s">
        <v>1189</v>
      </c>
      <c r="F34" s="125" t="s">
        <v>78</v>
      </c>
      <c r="G34" s="1148"/>
      <c r="H34" s="1149"/>
    </row>
    <row r="35" spans="1:8">
      <c r="A35" s="1144" t="s">
        <v>1178</v>
      </c>
      <c r="B35" s="1145" t="s">
        <v>1179</v>
      </c>
      <c r="C35" s="1146" t="s">
        <v>1187</v>
      </c>
      <c r="D35" s="1147" t="s">
        <v>727</v>
      </c>
      <c r="E35" s="107" t="s">
        <v>1190</v>
      </c>
      <c r="F35" s="125" t="s">
        <v>78</v>
      </c>
      <c r="G35" s="1148"/>
      <c r="H35" s="1149"/>
    </row>
    <row r="36" spans="1:8">
      <c r="A36" s="1144" t="s">
        <v>1178</v>
      </c>
      <c r="B36" s="1145" t="s">
        <v>1179</v>
      </c>
      <c r="C36" s="1146" t="s">
        <v>1187</v>
      </c>
      <c r="D36" s="1147" t="s">
        <v>730</v>
      </c>
      <c r="E36" s="107" t="s">
        <v>1191</v>
      </c>
      <c r="F36" s="125" t="s">
        <v>78</v>
      </c>
      <c r="G36" s="1148"/>
      <c r="H36" s="1149"/>
    </row>
    <row r="37" spans="1:8">
      <c r="A37" s="1144" t="s">
        <v>1178</v>
      </c>
      <c r="B37" s="1145" t="s">
        <v>1179</v>
      </c>
      <c r="C37" s="1146" t="s">
        <v>1187</v>
      </c>
      <c r="D37" s="1147" t="s">
        <v>733</v>
      </c>
      <c r="E37" s="107" t="s">
        <v>1192</v>
      </c>
      <c r="F37" s="125" t="s">
        <v>588</v>
      </c>
      <c r="G37" s="1148"/>
      <c r="H37" s="1149"/>
    </row>
    <row r="38" spans="1:8">
      <c r="A38" s="1144" t="s">
        <v>1178</v>
      </c>
      <c r="B38" s="1145" t="s">
        <v>1179</v>
      </c>
      <c r="C38" s="1146" t="s">
        <v>1187</v>
      </c>
      <c r="D38" s="1147" t="s">
        <v>738</v>
      </c>
      <c r="E38" s="107" t="s">
        <v>1193</v>
      </c>
      <c r="F38" s="125" t="s">
        <v>78</v>
      </c>
      <c r="G38" s="1148"/>
      <c r="H38" s="1149"/>
    </row>
    <row r="39" spans="1:8">
      <c r="A39" s="1144" t="s">
        <v>1178</v>
      </c>
      <c r="B39" s="1145" t="s">
        <v>1179</v>
      </c>
      <c r="C39" s="1146" t="s">
        <v>1194</v>
      </c>
      <c r="D39" s="1147" t="s">
        <v>741</v>
      </c>
      <c r="E39" s="107" t="s">
        <v>1195</v>
      </c>
      <c r="F39" s="1150" t="s">
        <v>78</v>
      </c>
      <c r="G39" s="1148"/>
      <c r="H39" s="1149"/>
    </row>
    <row r="40" spans="1:8">
      <c r="A40" s="1144" t="s">
        <v>1178</v>
      </c>
      <c r="B40" s="1145" t="s">
        <v>1179</v>
      </c>
      <c r="C40" s="1146" t="s">
        <v>1194</v>
      </c>
      <c r="D40" s="1147" t="s">
        <v>748</v>
      </c>
      <c r="E40" s="107" t="s">
        <v>1196</v>
      </c>
      <c r="F40" s="1150" t="s">
        <v>78</v>
      </c>
      <c r="G40" s="1148"/>
      <c r="H40" s="1149"/>
    </row>
    <row r="41" spans="1:8">
      <c r="A41" s="1144" t="s">
        <v>1178</v>
      </c>
      <c r="B41" s="1145" t="s">
        <v>1179</v>
      </c>
      <c r="C41" s="1146" t="s">
        <v>1194</v>
      </c>
      <c r="D41" s="1147" t="s">
        <v>753</v>
      </c>
      <c r="E41" s="107" t="s">
        <v>1197</v>
      </c>
      <c r="F41" s="1150" t="s">
        <v>78</v>
      </c>
      <c r="G41" s="1148"/>
      <c r="H41" s="1149"/>
    </row>
    <row r="42" spans="1:8">
      <c r="A42" s="1144" t="s">
        <v>1178</v>
      </c>
      <c r="B42" s="1145" t="s">
        <v>1179</v>
      </c>
      <c r="C42" s="1146" t="s">
        <v>1194</v>
      </c>
      <c r="D42" s="1147" t="s">
        <v>757</v>
      </c>
      <c r="E42" s="107" t="s">
        <v>1198</v>
      </c>
      <c r="F42" s="1150" t="s">
        <v>78</v>
      </c>
      <c r="G42" s="1148"/>
      <c r="H42" s="1149"/>
    </row>
    <row r="43" spans="1:8">
      <c r="A43" s="1144" t="s">
        <v>1178</v>
      </c>
      <c r="B43" s="1145" t="s">
        <v>1179</v>
      </c>
      <c r="C43" s="1146" t="s">
        <v>1194</v>
      </c>
      <c r="D43" s="1147" t="s">
        <v>762</v>
      </c>
      <c r="E43" s="107" t="s">
        <v>1199</v>
      </c>
      <c r="F43" s="1150" t="s">
        <v>78</v>
      </c>
      <c r="G43" s="1148"/>
      <c r="H43" s="1149"/>
    </row>
    <row r="44" spans="1:8">
      <c r="A44" s="1144" t="s">
        <v>1178</v>
      </c>
      <c r="B44" s="1145" t="s">
        <v>1179</v>
      </c>
      <c r="C44" s="1146" t="s">
        <v>1194</v>
      </c>
      <c r="D44" s="1147" t="s">
        <v>766</v>
      </c>
      <c r="E44" s="107" t="s">
        <v>1200</v>
      </c>
      <c r="F44" s="1150" t="s">
        <v>78</v>
      </c>
      <c r="G44" s="1148"/>
      <c r="H44" s="1149"/>
    </row>
    <row r="45" spans="1:8">
      <c r="A45" s="1144" t="s">
        <v>1178</v>
      </c>
      <c r="B45" s="1145" t="s">
        <v>1179</v>
      </c>
      <c r="C45" s="1146" t="s">
        <v>1194</v>
      </c>
      <c r="D45" s="1147" t="s">
        <v>770</v>
      </c>
      <c r="E45" s="107" t="s">
        <v>1201</v>
      </c>
      <c r="F45" s="1150" t="s">
        <v>78</v>
      </c>
      <c r="G45" s="1148"/>
      <c r="H45" s="1149"/>
    </row>
    <row r="46" spans="1:8">
      <c r="A46" s="1144" t="s">
        <v>1178</v>
      </c>
      <c r="B46" s="1145" t="s">
        <v>1202</v>
      </c>
      <c r="C46" s="1146" t="s">
        <v>1203</v>
      </c>
      <c r="D46" s="1147" t="s">
        <v>775</v>
      </c>
      <c r="E46" s="107" t="s">
        <v>1204</v>
      </c>
      <c r="F46" s="125" t="s">
        <v>588</v>
      </c>
      <c r="G46" s="1148"/>
      <c r="H46" s="1149"/>
    </row>
    <row r="47" spans="1:8">
      <c r="A47" s="1144" t="s">
        <v>1178</v>
      </c>
      <c r="B47" s="1145" t="s">
        <v>1202</v>
      </c>
      <c r="C47" s="1146" t="s">
        <v>1203</v>
      </c>
      <c r="D47" s="1147" t="s">
        <v>776</v>
      </c>
      <c r="E47" s="107" t="s">
        <v>1205</v>
      </c>
      <c r="F47" s="125" t="s">
        <v>588</v>
      </c>
      <c r="G47" s="1148"/>
      <c r="H47" s="1149"/>
    </row>
    <row r="48" spans="1:8">
      <c r="A48" s="1144" t="s">
        <v>1178</v>
      </c>
      <c r="B48" s="1145" t="s">
        <v>1202</v>
      </c>
      <c r="C48" s="1146" t="s">
        <v>1203</v>
      </c>
      <c r="D48" s="1147" t="s">
        <v>781</v>
      </c>
      <c r="E48" s="107" t="s">
        <v>1206</v>
      </c>
      <c r="F48" s="125" t="s">
        <v>588</v>
      </c>
      <c r="G48" s="1148"/>
      <c r="H48" s="1149"/>
    </row>
    <row r="49" spans="1:8">
      <c r="A49" s="1144" t="s">
        <v>1178</v>
      </c>
      <c r="B49" s="1145" t="s">
        <v>1202</v>
      </c>
      <c r="C49" s="1146" t="s">
        <v>1203</v>
      </c>
      <c r="D49" s="1147" t="s">
        <v>784</v>
      </c>
      <c r="E49" s="107" t="s">
        <v>1207</v>
      </c>
      <c r="F49" s="125" t="s">
        <v>588</v>
      </c>
      <c r="G49" s="1148"/>
      <c r="H49" s="1149"/>
    </row>
    <row r="50" spans="1:8">
      <c r="A50" s="1144" t="s">
        <v>1178</v>
      </c>
      <c r="B50" s="1145" t="s">
        <v>1202</v>
      </c>
      <c r="C50" s="1146" t="s">
        <v>1208</v>
      </c>
      <c r="D50" s="1147" t="s">
        <v>789</v>
      </c>
      <c r="E50" s="1147" t="s">
        <v>1209</v>
      </c>
      <c r="F50" s="125" t="s">
        <v>588</v>
      </c>
      <c r="G50" s="1148"/>
      <c r="H50" s="1149"/>
    </row>
    <row r="51" spans="1:8">
      <c r="A51" s="1144" t="s">
        <v>1178</v>
      </c>
      <c r="B51" s="1145" t="s">
        <v>1202</v>
      </c>
      <c r="C51" s="1146" t="s">
        <v>1208</v>
      </c>
      <c r="D51" s="1147" t="s">
        <v>795</v>
      </c>
      <c r="E51" s="107" t="s">
        <v>1210</v>
      </c>
      <c r="F51" s="125" t="s">
        <v>588</v>
      </c>
      <c r="G51" s="1148"/>
      <c r="H51" s="1149"/>
    </row>
    <row r="52" spans="1:8">
      <c r="A52" s="1144" t="s">
        <v>1178</v>
      </c>
      <c r="B52" s="1145" t="s">
        <v>1202</v>
      </c>
      <c r="C52" s="1146" t="s">
        <v>1208</v>
      </c>
      <c r="D52" s="1147" t="s">
        <v>798</v>
      </c>
      <c r="E52" s="107" t="s">
        <v>1211</v>
      </c>
      <c r="F52" s="125" t="s">
        <v>588</v>
      </c>
      <c r="G52" s="1148"/>
      <c r="H52" s="1149"/>
    </row>
    <row r="53" spans="1:8">
      <c r="A53" s="1144" t="s">
        <v>1178</v>
      </c>
      <c r="B53" s="1145" t="s">
        <v>1202</v>
      </c>
      <c r="C53" s="1146" t="s">
        <v>1208</v>
      </c>
      <c r="D53" s="1147" t="s">
        <v>802</v>
      </c>
      <c r="E53" s="107" t="s">
        <v>1212</v>
      </c>
      <c r="F53" s="107" t="s">
        <v>588</v>
      </c>
      <c r="G53" s="1148"/>
      <c r="H53" s="1149"/>
    </row>
    <row r="54" spans="1:8">
      <c r="A54" s="1144" t="s">
        <v>1178</v>
      </c>
      <c r="B54" s="1145" t="s">
        <v>1202</v>
      </c>
      <c r="C54" s="1146" t="s">
        <v>1208</v>
      </c>
      <c r="D54" s="1147" t="s">
        <v>808</v>
      </c>
      <c r="E54" s="107" t="s">
        <v>1213</v>
      </c>
      <c r="F54" s="107" t="s">
        <v>588</v>
      </c>
      <c r="G54" s="1148"/>
      <c r="H54" s="1149"/>
    </row>
    <row r="55" spans="1:8">
      <c r="A55" s="1144" t="s">
        <v>1178</v>
      </c>
      <c r="B55" s="1145" t="s">
        <v>1202</v>
      </c>
      <c r="C55" s="1146" t="s">
        <v>1214</v>
      </c>
      <c r="D55" s="1147" t="s">
        <v>812</v>
      </c>
      <c r="E55" s="107" t="s">
        <v>1215</v>
      </c>
      <c r="F55" s="107" t="s">
        <v>588</v>
      </c>
      <c r="G55" s="1148"/>
      <c r="H55" s="1149"/>
    </row>
    <row r="56" spans="1:8">
      <c r="A56" s="1144" t="s">
        <v>1178</v>
      </c>
      <c r="B56" s="1145" t="s">
        <v>1202</v>
      </c>
      <c r="C56" s="1146" t="s">
        <v>1214</v>
      </c>
      <c r="D56" s="1147" t="s">
        <v>816</v>
      </c>
      <c r="E56" s="107" t="s">
        <v>1216</v>
      </c>
      <c r="F56" s="107" t="s">
        <v>78</v>
      </c>
      <c r="G56" s="1148"/>
      <c r="H56" s="1149"/>
    </row>
    <row r="57" spans="1:8">
      <c r="A57" s="1144" t="s">
        <v>1178</v>
      </c>
      <c r="B57" s="1145" t="s">
        <v>1202</v>
      </c>
      <c r="C57" s="1146" t="s">
        <v>1214</v>
      </c>
      <c r="D57" s="1147" t="s">
        <v>821</v>
      </c>
      <c r="E57" s="107" t="s">
        <v>1217</v>
      </c>
      <c r="F57" s="107" t="s">
        <v>78</v>
      </c>
      <c r="G57" s="1148"/>
      <c r="H57" s="1149"/>
    </row>
    <row r="58" spans="1:8">
      <c r="A58" s="1144" t="s">
        <v>1178</v>
      </c>
      <c r="B58" s="1145" t="s">
        <v>1202</v>
      </c>
      <c r="C58" s="1146" t="s">
        <v>1214</v>
      </c>
      <c r="D58" s="1147" t="s">
        <v>825</v>
      </c>
      <c r="E58" s="107" t="s">
        <v>1218</v>
      </c>
      <c r="F58" s="107" t="s">
        <v>588</v>
      </c>
      <c r="G58" s="1148"/>
      <c r="H58" s="1149"/>
    </row>
    <row r="59" spans="1:8">
      <c r="A59" s="1144" t="s">
        <v>1178</v>
      </c>
      <c r="B59" s="1145" t="s">
        <v>337</v>
      </c>
      <c r="C59" s="1146" t="s">
        <v>1219</v>
      </c>
      <c r="D59" s="1147" t="s">
        <v>828</v>
      </c>
      <c r="E59" s="107" t="s">
        <v>1220</v>
      </c>
      <c r="F59" s="107" t="s">
        <v>78</v>
      </c>
      <c r="G59" s="1148"/>
      <c r="H59" s="1149"/>
    </row>
    <row r="60" spans="1:8">
      <c r="A60" s="1144" t="s">
        <v>1178</v>
      </c>
      <c r="B60" s="1145" t="s">
        <v>337</v>
      </c>
      <c r="C60" s="1146" t="s">
        <v>1219</v>
      </c>
      <c r="D60" s="1147" t="s">
        <v>831</v>
      </c>
      <c r="E60" s="107" t="s">
        <v>1221</v>
      </c>
      <c r="F60" s="107" t="s">
        <v>78</v>
      </c>
      <c r="G60" s="1148"/>
      <c r="H60" s="1149"/>
    </row>
    <row r="61" spans="1:8">
      <c r="A61" s="1144" t="s">
        <v>1178</v>
      </c>
      <c r="B61" s="1145" t="s">
        <v>337</v>
      </c>
      <c r="C61" s="1146" t="s">
        <v>1219</v>
      </c>
      <c r="D61" s="1147" t="s">
        <v>833</v>
      </c>
      <c r="E61" s="107" t="s">
        <v>1222</v>
      </c>
      <c r="F61" s="107" t="s">
        <v>78</v>
      </c>
      <c r="G61" s="1148"/>
      <c r="H61" s="1149"/>
    </row>
    <row r="62" spans="1:8">
      <c r="A62" s="1144" t="s">
        <v>1178</v>
      </c>
      <c r="B62" s="1145" t="s">
        <v>337</v>
      </c>
      <c r="C62" s="1146" t="s">
        <v>1223</v>
      </c>
      <c r="D62" s="1147" t="s">
        <v>836</v>
      </c>
      <c r="E62" s="107" t="s">
        <v>1224</v>
      </c>
      <c r="F62" s="107" t="s">
        <v>588</v>
      </c>
      <c r="G62" s="1148"/>
      <c r="H62" s="1149"/>
    </row>
    <row r="63" spans="1:8">
      <c r="A63" s="1144" t="s">
        <v>1178</v>
      </c>
      <c r="B63" s="1145" t="s">
        <v>337</v>
      </c>
      <c r="C63" s="1146" t="s">
        <v>1223</v>
      </c>
      <c r="D63" s="1147" t="s">
        <v>839</v>
      </c>
      <c r="E63" s="107" t="s">
        <v>1225</v>
      </c>
      <c r="F63" s="107" t="s">
        <v>588</v>
      </c>
      <c r="G63" s="1148"/>
      <c r="H63" s="1149"/>
    </row>
    <row r="64" spans="1:8">
      <c r="A64" s="1144" t="s">
        <v>1178</v>
      </c>
      <c r="B64" s="1145" t="s">
        <v>337</v>
      </c>
      <c r="C64" s="1146" t="s">
        <v>1223</v>
      </c>
      <c r="D64" s="1147" t="s">
        <v>844</v>
      </c>
      <c r="E64" s="107" t="s">
        <v>1226</v>
      </c>
      <c r="F64" s="107" t="s">
        <v>588</v>
      </c>
      <c r="G64" s="1148"/>
      <c r="H64" s="1149"/>
    </row>
    <row r="65" spans="1:8">
      <c r="A65" s="1144" t="s">
        <v>1178</v>
      </c>
      <c r="B65" s="1145" t="s">
        <v>337</v>
      </c>
      <c r="C65" s="1146" t="s">
        <v>1223</v>
      </c>
      <c r="D65" s="1147" t="s">
        <v>846</v>
      </c>
      <c r="E65" s="107" t="s">
        <v>1152</v>
      </c>
      <c r="F65" s="107" t="s">
        <v>78</v>
      </c>
      <c r="G65" s="1148"/>
      <c r="H65" s="1149"/>
    </row>
    <row r="66" spans="1:8">
      <c r="A66" s="1144" t="s">
        <v>1227</v>
      </c>
      <c r="B66" s="1145" t="s">
        <v>848</v>
      </c>
      <c r="C66" s="1146" t="s">
        <v>1228</v>
      </c>
      <c r="D66" s="1147" t="s">
        <v>850</v>
      </c>
      <c r="E66" s="107" t="s">
        <v>1229</v>
      </c>
      <c r="F66" s="107" t="s">
        <v>588</v>
      </c>
      <c r="G66" s="1148"/>
      <c r="H66" s="1149"/>
    </row>
    <row r="67" spans="1:8">
      <c r="A67" s="1144" t="s">
        <v>1227</v>
      </c>
      <c r="B67" s="1145" t="s">
        <v>848</v>
      </c>
      <c r="C67" s="1146" t="s">
        <v>1228</v>
      </c>
      <c r="D67" s="1147" t="s">
        <v>854</v>
      </c>
      <c r="E67" s="107" t="s">
        <v>1230</v>
      </c>
      <c r="F67" s="107" t="s">
        <v>588</v>
      </c>
      <c r="G67" s="1148"/>
      <c r="H67" s="1149"/>
    </row>
    <row r="68" spans="1:8">
      <c r="A68" s="1144" t="s">
        <v>1227</v>
      </c>
      <c r="B68" s="1145" t="s">
        <v>848</v>
      </c>
      <c r="C68" s="1146" t="s">
        <v>1228</v>
      </c>
      <c r="D68" s="1147" t="s">
        <v>858</v>
      </c>
      <c r="E68" s="107" t="s">
        <v>1231</v>
      </c>
      <c r="F68" s="107" t="s">
        <v>78</v>
      </c>
      <c r="G68" s="1148"/>
      <c r="H68" s="1149"/>
    </row>
    <row r="69" spans="1:8">
      <c r="A69" s="1144" t="s">
        <v>1227</v>
      </c>
      <c r="B69" s="1145" t="s">
        <v>848</v>
      </c>
      <c r="C69" s="1146" t="s">
        <v>1232</v>
      </c>
      <c r="D69" s="1147" t="s">
        <v>862</v>
      </c>
      <c r="E69" s="107" t="s">
        <v>1233</v>
      </c>
      <c r="F69" s="107" t="s">
        <v>78</v>
      </c>
      <c r="G69" s="1148"/>
      <c r="H69" s="1149"/>
    </row>
    <row r="70" spans="1:8">
      <c r="A70" s="1144" t="s">
        <v>1227</v>
      </c>
      <c r="B70" s="1145" t="s">
        <v>848</v>
      </c>
      <c r="C70" s="1146" t="s">
        <v>1232</v>
      </c>
      <c r="D70" s="1147" t="s">
        <v>866</v>
      </c>
      <c r="E70" s="107" t="s">
        <v>1234</v>
      </c>
      <c r="F70" s="107" t="s">
        <v>78</v>
      </c>
      <c r="G70" s="1148"/>
      <c r="H70" s="1149"/>
    </row>
    <row r="71" spans="1:8">
      <c r="A71" s="1144" t="s">
        <v>1227</v>
      </c>
      <c r="B71" s="1145" t="s">
        <v>848</v>
      </c>
      <c r="C71" s="1146" t="s">
        <v>1232</v>
      </c>
      <c r="D71" s="1147" t="s">
        <v>871</v>
      </c>
      <c r="E71" s="107" t="s">
        <v>1235</v>
      </c>
      <c r="F71" s="107" t="s">
        <v>588</v>
      </c>
      <c r="G71" s="1148"/>
      <c r="H71" s="1149"/>
    </row>
    <row r="72" spans="1:8">
      <c r="A72" s="1144" t="s">
        <v>1227</v>
      </c>
      <c r="B72" s="1145" t="s">
        <v>848</v>
      </c>
      <c r="C72" s="1146" t="s">
        <v>1232</v>
      </c>
      <c r="D72" s="1147" t="s">
        <v>876</v>
      </c>
      <c r="E72" s="107" t="s">
        <v>1236</v>
      </c>
      <c r="F72" s="107" t="s">
        <v>78</v>
      </c>
      <c r="G72" s="1148"/>
      <c r="H72" s="1149"/>
    </row>
    <row r="73" spans="1:8">
      <c r="A73" s="1144" t="s">
        <v>1227</v>
      </c>
      <c r="B73" s="1145" t="s">
        <v>848</v>
      </c>
      <c r="C73" s="1146" t="s">
        <v>1232</v>
      </c>
      <c r="D73" s="1147" t="s">
        <v>880</v>
      </c>
      <c r="E73" s="107" t="s">
        <v>1237</v>
      </c>
      <c r="F73" s="107" t="s">
        <v>78</v>
      </c>
      <c r="G73" s="1148"/>
      <c r="H73" s="1149"/>
    </row>
    <row r="74" spans="1:8">
      <c r="A74" s="1144" t="s">
        <v>1227</v>
      </c>
      <c r="B74" s="1145" t="s">
        <v>1238</v>
      </c>
      <c r="C74" s="1151" t="s">
        <v>1239</v>
      </c>
      <c r="D74" s="1147" t="s">
        <v>885</v>
      </c>
      <c r="E74" s="107" t="s">
        <v>1240</v>
      </c>
      <c r="F74" s="107" t="s">
        <v>78</v>
      </c>
      <c r="G74" s="1148"/>
      <c r="H74" s="1149"/>
    </row>
    <row r="75" spans="1:8">
      <c r="A75" s="1144" t="s">
        <v>1227</v>
      </c>
      <c r="B75" s="1145" t="s">
        <v>1238</v>
      </c>
      <c r="C75" s="1151" t="s">
        <v>1239</v>
      </c>
      <c r="D75" s="1147" t="s">
        <v>886</v>
      </c>
      <c r="E75" s="107" t="s">
        <v>1241</v>
      </c>
      <c r="F75" s="107" t="s">
        <v>78</v>
      </c>
      <c r="G75" s="1148"/>
      <c r="H75" s="1149"/>
    </row>
    <row r="76" spans="1:8">
      <c r="A76" s="1144" t="s">
        <v>1227</v>
      </c>
      <c r="B76" s="1145" t="s">
        <v>1238</v>
      </c>
      <c r="C76" s="1151" t="s">
        <v>1239</v>
      </c>
      <c r="D76" s="1147" t="s">
        <v>889</v>
      </c>
      <c r="E76" s="107" t="s">
        <v>1242</v>
      </c>
      <c r="F76" s="107" t="s">
        <v>78</v>
      </c>
      <c r="G76" s="1148"/>
      <c r="H76" s="1149"/>
    </row>
    <row r="77" spans="1:8">
      <c r="A77" s="1144" t="s">
        <v>1227</v>
      </c>
      <c r="B77" s="1145" t="s">
        <v>1238</v>
      </c>
      <c r="C77" s="1151" t="s">
        <v>1239</v>
      </c>
      <c r="D77" s="1147" t="s">
        <v>891</v>
      </c>
      <c r="E77" s="107" t="s">
        <v>1243</v>
      </c>
      <c r="F77" s="107" t="s">
        <v>78</v>
      </c>
      <c r="G77" s="1148"/>
      <c r="H77" s="1149"/>
    </row>
    <row r="78" spans="1:8">
      <c r="A78" s="1144" t="s">
        <v>1227</v>
      </c>
      <c r="B78" s="1145" t="s">
        <v>1238</v>
      </c>
      <c r="C78" s="1151" t="s">
        <v>1239</v>
      </c>
      <c r="D78" s="1147" t="s">
        <v>894</v>
      </c>
      <c r="E78" s="107" t="s">
        <v>1244</v>
      </c>
      <c r="F78" s="107" t="s">
        <v>78</v>
      </c>
      <c r="G78" s="1148"/>
      <c r="H78" s="1149"/>
    </row>
    <row r="79" spans="1:8">
      <c r="A79" s="1144" t="s">
        <v>1227</v>
      </c>
      <c r="B79" s="1145" t="s">
        <v>1238</v>
      </c>
      <c r="C79" s="1151" t="s">
        <v>1239</v>
      </c>
      <c r="D79" s="1147" t="s">
        <v>896</v>
      </c>
      <c r="E79" s="107" t="s">
        <v>1245</v>
      </c>
      <c r="F79" s="107" t="s">
        <v>78</v>
      </c>
      <c r="G79" s="1148"/>
      <c r="H79" s="1149"/>
    </row>
    <row r="80" spans="1:8">
      <c r="A80" s="1144" t="s">
        <v>1227</v>
      </c>
      <c r="B80" s="1145" t="s">
        <v>1238</v>
      </c>
      <c r="C80" s="1151" t="s">
        <v>1239</v>
      </c>
      <c r="D80" s="1147" t="s">
        <v>898</v>
      </c>
      <c r="E80" s="107" t="s">
        <v>1246</v>
      </c>
      <c r="F80" s="107" t="s">
        <v>78</v>
      </c>
      <c r="G80" s="1148"/>
      <c r="H80" s="1149"/>
    </row>
    <row r="81" spans="1:8">
      <c r="A81" s="1144" t="s">
        <v>1227</v>
      </c>
      <c r="B81" s="1145" t="s">
        <v>1238</v>
      </c>
      <c r="C81" s="1151" t="s">
        <v>1239</v>
      </c>
      <c r="D81" s="1147" t="s">
        <v>900</v>
      </c>
      <c r="E81" s="107" t="s">
        <v>1247</v>
      </c>
      <c r="F81" s="107" t="s">
        <v>78</v>
      </c>
      <c r="G81" s="1148"/>
      <c r="H81" s="1149"/>
    </row>
    <row r="82" spans="1:8">
      <c r="A82" s="1144" t="s">
        <v>1227</v>
      </c>
      <c r="B82" s="1145" t="s">
        <v>1238</v>
      </c>
      <c r="C82" s="1151" t="s">
        <v>1239</v>
      </c>
      <c r="D82" s="1147" t="s">
        <v>904</v>
      </c>
      <c r="E82" s="107" t="s">
        <v>1248</v>
      </c>
      <c r="F82" s="107" t="s">
        <v>78</v>
      </c>
      <c r="G82" s="1148"/>
      <c r="H82" s="1149"/>
    </row>
    <row r="83" spans="1:8">
      <c r="A83" s="1144" t="s">
        <v>1227</v>
      </c>
      <c r="B83" s="1145" t="s">
        <v>1238</v>
      </c>
      <c r="C83" s="1151" t="s">
        <v>1239</v>
      </c>
      <c r="D83" s="1147" t="s">
        <v>1035</v>
      </c>
      <c r="E83" s="107" t="s">
        <v>1036</v>
      </c>
      <c r="F83" s="107" t="s">
        <v>78</v>
      </c>
      <c r="G83" s="1148"/>
      <c r="H83" s="1149"/>
    </row>
    <row r="84" spans="1:8">
      <c r="A84" s="1144" t="s">
        <v>1227</v>
      </c>
      <c r="B84" s="1145" t="s">
        <v>907</v>
      </c>
      <c r="C84" s="1146" t="s">
        <v>1249</v>
      </c>
      <c r="D84" s="1147" t="s">
        <v>908</v>
      </c>
      <c r="E84" s="107" t="s">
        <v>1250</v>
      </c>
      <c r="F84" s="107" t="s">
        <v>78</v>
      </c>
      <c r="G84" s="1148"/>
      <c r="H84" s="1149"/>
    </row>
    <row r="85" spans="1:8">
      <c r="A85" s="1144" t="s">
        <v>1227</v>
      </c>
      <c r="B85" s="1145" t="s">
        <v>907</v>
      </c>
      <c r="C85" s="1146" t="s">
        <v>1249</v>
      </c>
      <c r="D85" s="1147" t="s">
        <v>910</v>
      </c>
      <c r="E85" s="107" t="s">
        <v>1251</v>
      </c>
      <c r="F85" s="107" t="s">
        <v>78</v>
      </c>
      <c r="G85" s="1148"/>
      <c r="H85" s="1149"/>
    </row>
    <row r="86" spans="1:8">
      <c r="A86" s="1144" t="s">
        <v>1227</v>
      </c>
      <c r="B86" s="1145" t="s">
        <v>907</v>
      </c>
      <c r="C86" s="1146" t="s">
        <v>1249</v>
      </c>
      <c r="D86" s="1147" t="s">
        <v>918</v>
      </c>
      <c r="E86" s="107" t="s">
        <v>1252</v>
      </c>
      <c r="F86" s="107" t="s">
        <v>78</v>
      </c>
      <c r="G86" s="1148"/>
      <c r="H86" s="1149"/>
    </row>
    <row r="87" spans="1:8">
      <c r="A87" s="1144" t="s">
        <v>1227</v>
      </c>
      <c r="B87" s="1145" t="s">
        <v>907</v>
      </c>
      <c r="C87" s="1146" t="s">
        <v>1249</v>
      </c>
      <c r="D87" s="1147" t="s">
        <v>921</v>
      </c>
      <c r="E87" s="107" t="s">
        <v>1253</v>
      </c>
      <c r="F87" s="107" t="s">
        <v>78</v>
      </c>
      <c r="G87" s="1148"/>
      <c r="H87" s="1149"/>
    </row>
    <row r="88" spans="1:8">
      <c r="A88" s="1144" t="s">
        <v>1227</v>
      </c>
      <c r="B88" s="1145" t="s">
        <v>907</v>
      </c>
      <c r="C88" s="1146" t="s">
        <v>1249</v>
      </c>
      <c r="D88" s="1147" t="s">
        <v>924</v>
      </c>
      <c r="E88" s="107" t="s">
        <v>1254</v>
      </c>
      <c r="F88" s="107" t="s">
        <v>78</v>
      </c>
      <c r="G88" s="1148"/>
      <c r="H88" s="1149"/>
    </row>
    <row r="89" spans="1:8">
      <c r="A89" s="1144" t="s">
        <v>1227</v>
      </c>
      <c r="B89" s="1145" t="s">
        <v>907</v>
      </c>
      <c r="C89" s="1146" t="s">
        <v>1249</v>
      </c>
      <c r="D89" s="1147" t="s">
        <v>926</v>
      </c>
      <c r="E89" s="107" t="s">
        <v>1152</v>
      </c>
      <c r="F89" s="107" t="s">
        <v>78</v>
      </c>
      <c r="G89" s="1148"/>
      <c r="H89" s="1149"/>
    </row>
    <row r="90" spans="1:8">
      <c r="A90" s="1144" t="s">
        <v>1227</v>
      </c>
      <c r="B90" s="1145" t="s">
        <v>907</v>
      </c>
      <c r="C90" s="1146" t="s">
        <v>1249</v>
      </c>
      <c r="D90" s="1147" t="s">
        <v>928</v>
      </c>
      <c r="E90" s="107" t="s">
        <v>1255</v>
      </c>
      <c r="F90" s="107" t="s">
        <v>78</v>
      </c>
      <c r="G90" s="1148"/>
      <c r="H90" s="1149"/>
    </row>
    <row r="91" spans="1:8">
      <c r="A91" s="1144"/>
      <c r="B91" s="1145"/>
      <c r="C91" s="1146"/>
      <c r="D91" s="107"/>
      <c r="E91" s="107"/>
      <c r="F91" s="107"/>
      <c r="G91" s="1148"/>
      <c r="H91" s="1149"/>
    </row>
    <row r="92" spans="1:8">
      <c r="A92" s="1144"/>
      <c r="B92" s="1145"/>
      <c r="C92" s="1146"/>
      <c r="D92" s="107"/>
      <c r="E92" s="107"/>
      <c r="F92" s="107"/>
      <c r="G92" s="1148"/>
      <c r="H92" s="1149"/>
    </row>
    <row r="93" spans="1:8">
      <c r="A93" s="1144"/>
      <c r="B93" s="1145"/>
      <c r="C93" s="1146"/>
      <c r="D93" s="107"/>
      <c r="E93" s="107"/>
      <c r="F93" s="107"/>
      <c r="G93" s="1148"/>
      <c r="H93" s="1149"/>
    </row>
    <row r="94" spans="1:8">
      <c r="A94" s="1144"/>
      <c r="B94" s="1145"/>
      <c r="C94" s="1146"/>
      <c r="D94" s="107"/>
      <c r="E94" s="107"/>
      <c r="F94" s="107"/>
      <c r="G94" s="1148"/>
      <c r="H94" s="1149"/>
    </row>
    <row r="95" spans="1:8">
      <c r="A95" s="1144"/>
      <c r="B95" s="1145"/>
      <c r="C95" s="1146"/>
      <c r="D95" s="107"/>
      <c r="E95" s="107"/>
      <c r="F95" s="107"/>
      <c r="G95" s="1148"/>
      <c r="H95" s="1149"/>
    </row>
    <row r="96" spans="1:8">
      <c r="A96" s="1144"/>
      <c r="B96" s="1145"/>
      <c r="C96" s="1146"/>
      <c r="D96" s="107"/>
      <c r="E96" s="107"/>
      <c r="F96" s="107"/>
      <c r="G96" s="1148"/>
      <c r="H96" s="1149"/>
    </row>
    <row r="97" spans="1:8">
      <c r="A97" s="1144"/>
      <c r="B97" s="1145"/>
      <c r="C97" s="1146"/>
      <c r="D97" s="107"/>
      <c r="E97" s="107"/>
      <c r="F97" s="107"/>
      <c r="G97" s="1148"/>
      <c r="H97" s="1149"/>
    </row>
    <row r="98" spans="1:8">
      <c r="A98" s="1144"/>
      <c r="B98" s="1145"/>
      <c r="C98" s="1146"/>
      <c r="D98" s="107"/>
      <c r="E98" s="107"/>
      <c r="F98" s="107"/>
      <c r="G98" s="1148"/>
      <c r="H98" s="1149"/>
    </row>
    <row r="99" spans="1:8">
      <c r="A99" s="1144"/>
      <c r="B99" s="1145"/>
      <c r="C99" s="1146"/>
      <c r="D99" s="107"/>
      <c r="E99" s="107"/>
      <c r="F99" s="107"/>
      <c r="G99" s="1148"/>
      <c r="H99" s="1149"/>
    </row>
    <row r="100" spans="1:8">
      <c r="A100" s="1144"/>
      <c r="B100" s="1145"/>
      <c r="C100" s="1146"/>
      <c r="D100" s="107"/>
      <c r="E100" s="107"/>
      <c r="F100" s="107"/>
      <c r="G100" s="1148"/>
      <c r="H100" s="1149"/>
    </row>
    <row r="101" spans="1:8">
      <c r="A101" s="1144"/>
      <c r="B101" s="1145"/>
      <c r="C101" s="1146"/>
      <c r="D101" s="107"/>
      <c r="E101" s="107"/>
      <c r="F101" s="107"/>
      <c r="G101" s="1148"/>
      <c r="H101" s="1149"/>
    </row>
    <row r="102" spans="1:8">
      <c r="A102" s="1144"/>
      <c r="B102" s="1145"/>
      <c r="C102" s="1146"/>
      <c r="D102" s="107"/>
      <c r="E102" s="107"/>
      <c r="F102" s="107"/>
      <c r="G102" s="1148"/>
      <c r="H102" s="1149"/>
    </row>
    <row r="103" spans="1:8">
      <c r="A103" s="1144"/>
      <c r="B103" s="1145"/>
      <c r="C103" s="1146"/>
      <c r="D103" s="107"/>
      <c r="E103" s="125"/>
      <c r="F103" s="107"/>
      <c r="G103" s="1148"/>
      <c r="H103" s="1149"/>
    </row>
    <row r="104" spans="1:8">
      <c r="A104" s="1144"/>
      <c r="B104" s="1145"/>
      <c r="C104" s="1146"/>
      <c r="D104" s="107"/>
      <c r="E104" s="107"/>
      <c r="F104" s="107"/>
      <c r="G104" s="1148"/>
      <c r="H104" s="1149"/>
    </row>
    <row r="105" spans="1:8">
      <c r="A105" s="1144"/>
      <c r="B105" s="1145"/>
      <c r="C105" s="1146"/>
      <c r="D105" s="107"/>
      <c r="E105" s="107"/>
      <c r="F105" s="107"/>
      <c r="G105" s="1148"/>
      <c r="H105" s="1149"/>
    </row>
    <row r="106" spans="1:8">
      <c r="A106" s="1144"/>
      <c r="B106" s="1145"/>
      <c r="C106" s="1146"/>
      <c r="D106" s="107"/>
      <c r="E106" s="107"/>
      <c r="F106" s="107"/>
      <c r="G106" s="1148"/>
      <c r="H106" s="1149"/>
    </row>
    <row r="107" spans="1:8">
      <c r="A107" s="1144"/>
      <c r="B107" s="507"/>
      <c r="C107" s="1146"/>
      <c r="D107" s="107"/>
      <c r="E107" s="107"/>
      <c r="F107" s="107"/>
      <c r="G107" s="1148"/>
      <c r="H107" s="1149"/>
    </row>
    <row r="108" spans="1:8">
      <c r="A108" s="1144"/>
      <c r="B108" s="507"/>
      <c r="C108" s="1146"/>
      <c r="D108" s="107"/>
      <c r="E108" s="107"/>
      <c r="F108" s="107"/>
      <c r="G108" s="1148"/>
      <c r="H108" s="1149"/>
    </row>
    <row r="109" spans="1:8">
      <c r="A109" s="1144"/>
      <c r="B109" s="507"/>
      <c r="C109" s="1146"/>
      <c r="D109" s="107"/>
      <c r="E109" s="107"/>
      <c r="F109" s="107"/>
      <c r="G109" s="1148"/>
      <c r="H109" s="1149"/>
    </row>
    <row r="110" spans="1:8">
      <c r="A110" s="1144"/>
      <c r="B110" s="507"/>
      <c r="C110" s="1146"/>
      <c r="D110" s="107"/>
      <c r="E110" s="107"/>
      <c r="F110" s="107"/>
      <c r="G110" s="1148"/>
      <c r="H110" s="1149"/>
    </row>
    <row r="111" spans="1:8">
      <c r="A111" s="1144"/>
      <c r="B111" s="507"/>
      <c r="C111" s="1146"/>
      <c r="D111" s="107"/>
      <c r="E111" s="107"/>
      <c r="F111" s="107"/>
      <c r="G111" s="1148"/>
      <c r="H111" s="1149"/>
    </row>
    <row r="112" spans="1:8">
      <c r="A112" s="1144"/>
      <c r="B112" s="507"/>
      <c r="C112" s="1146"/>
      <c r="D112" s="107"/>
      <c r="E112" s="107"/>
      <c r="F112" s="107"/>
      <c r="G112" s="1148"/>
      <c r="H112" s="1149"/>
    </row>
    <row r="113" spans="1:8">
      <c r="A113" s="1144"/>
      <c r="B113" s="507"/>
      <c r="C113" s="106"/>
      <c r="D113" s="107"/>
      <c r="E113" s="107"/>
      <c r="F113" s="107"/>
      <c r="G113" s="1148"/>
      <c r="H113" s="1149"/>
    </row>
    <row r="114" spans="1:8">
      <c r="A114" s="506"/>
      <c r="B114" s="508"/>
      <c r="C114" s="131"/>
      <c r="D114" s="132"/>
      <c r="E114" s="132"/>
      <c r="F114" s="133"/>
      <c r="G114" s="1152"/>
      <c r="H114" s="1153"/>
    </row>
    <row r="115" spans="1:8">
      <c r="A115" s="506"/>
      <c r="B115" s="508"/>
      <c r="C115" s="131"/>
      <c r="D115" s="132"/>
      <c r="E115" s="132"/>
      <c r="F115" s="133"/>
      <c r="G115" s="1152"/>
      <c r="H115" s="1153"/>
    </row>
    <row r="116" spans="1:8">
      <c r="A116" s="506"/>
      <c r="B116" s="508"/>
      <c r="C116" s="131"/>
      <c r="D116" s="132"/>
      <c r="E116" s="132"/>
      <c r="F116" s="133"/>
      <c r="G116" s="1152"/>
      <c r="H116" s="1153"/>
    </row>
    <row r="117" spans="1:8">
      <c r="A117" s="506"/>
      <c r="B117" s="508"/>
      <c r="C117" s="131"/>
      <c r="D117" s="132"/>
      <c r="E117" s="132"/>
      <c r="F117" s="133"/>
      <c r="G117" s="1152"/>
      <c r="H117" s="1153"/>
    </row>
    <row r="118" spans="1:8">
      <c r="A118" s="506"/>
      <c r="B118" s="508"/>
      <c r="C118" s="131"/>
      <c r="D118" s="132"/>
      <c r="E118" s="132"/>
      <c r="F118" s="133"/>
      <c r="G118" s="1152"/>
      <c r="H118" s="1153"/>
    </row>
    <row r="119" spans="1:8">
      <c r="A119" s="506"/>
      <c r="B119" s="508"/>
      <c r="C119" s="131"/>
      <c r="D119" s="132"/>
      <c r="E119" s="132"/>
      <c r="F119" s="133"/>
      <c r="G119" s="1152"/>
      <c r="H119" s="1153"/>
    </row>
    <row r="120" spans="1:8">
      <c r="A120" s="506"/>
      <c r="B120" s="508"/>
      <c r="C120" s="131"/>
      <c r="D120" s="132"/>
      <c r="E120" s="132"/>
      <c r="F120" s="133"/>
      <c r="G120" s="1152"/>
      <c r="H120" s="1153"/>
    </row>
    <row r="121" spans="1:8">
      <c r="A121" s="506"/>
      <c r="B121" s="508"/>
      <c r="C121" s="131"/>
      <c r="D121" s="132"/>
      <c r="E121" s="132"/>
      <c r="F121" s="133"/>
      <c r="G121" s="1152"/>
      <c r="H121" s="1153"/>
    </row>
    <row r="122" spans="1:8">
      <c r="A122" s="506"/>
      <c r="B122" s="508"/>
      <c r="C122" s="131"/>
      <c r="D122" s="132"/>
      <c r="E122" s="132"/>
      <c r="F122" s="133"/>
      <c r="G122" s="1152"/>
      <c r="H122" s="1153"/>
    </row>
    <row r="123" spans="1:8">
      <c r="A123" s="506"/>
      <c r="B123" s="508"/>
      <c r="C123" s="131"/>
      <c r="D123" s="132"/>
      <c r="E123" s="132"/>
      <c r="F123" s="133"/>
      <c r="G123" s="1152"/>
      <c r="H123" s="1153"/>
    </row>
    <row r="124" spans="1:8">
      <c r="A124" s="506"/>
      <c r="B124" s="508"/>
      <c r="C124" s="131"/>
      <c r="D124" s="132"/>
      <c r="E124" s="132"/>
      <c r="F124" s="133"/>
      <c r="G124" s="134"/>
      <c r="H124" s="1153"/>
    </row>
    <row r="125" spans="1:8">
      <c r="A125" s="506"/>
      <c r="B125" s="508"/>
      <c r="C125" s="131"/>
      <c r="D125" s="132"/>
      <c r="E125" s="132"/>
      <c r="F125" s="133"/>
      <c r="G125" s="134"/>
      <c r="H125" s="1153"/>
    </row>
    <row r="126" spans="1:8">
      <c r="A126" s="506"/>
      <c r="B126" s="508"/>
      <c r="C126" s="131"/>
      <c r="D126" s="132"/>
      <c r="E126" s="132"/>
      <c r="F126" s="133"/>
      <c r="G126" s="134"/>
      <c r="H126" s="1153"/>
    </row>
    <row r="127" spans="1:8">
      <c r="A127" s="506"/>
      <c r="B127" s="508"/>
      <c r="C127" s="131"/>
      <c r="D127" s="132"/>
      <c r="E127" s="132"/>
      <c r="F127" s="133"/>
      <c r="G127" s="134"/>
      <c r="H127" s="1153"/>
    </row>
    <row r="128" spans="1:8">
      <c r="A128" s="506"/>
      <c r="B128" s="508"/>
      <c r="C128" s="131"/>
      <c r="D128" s="132"/>
      <c r="E128" s="132"/>
      <c r="F128" s="133"/>
      <c r="G128" s="134"/>
      <c r="H128" s="1153"/>
    </row>
    <row r="129" spans="1:8">
      <c r="A129" s="506"/>
      <c r="B129" s="508"/>
      <c r="C129" s="131"/>
      <c r="D129" s="132"/>
      <c r="E129" s="132"/>
      <c r="F129" s="133"/>
      <c r="G129" s="134"/>
      <c r="H129" s="1153"/>
    </row>
    <row r="130" spans="1:8">
      <c r="A130" s="506"/>
      <c r="B130" s="508"/>
      <c r="C130" s="131"/>
      <c r="D130" s="132"/>
      <c r="E130" s="132"/>
      <c r="F130" s="133"/>
      <c r="G130" s="134"/>
      <c r="H130" s="1153"/>
    </row>
    <row r="131" spans="1:8">
      <c r="A131" s="506"/>
      <c r="B131" s="508"/>
      <c r="C131" s="131"/>
      <c r="D131" s="132"/>
      <c r="E131" s="132"/>
      <c r="F131" s="133"/>
      <c r="G131" s="134"/>
      <c r="H131" s="1153"/>
    </row>
    <row r="132" spans="1:8">
      <c r="A132" s="506"/>
      <c r="B132" s="508"/>
      <c r="C132" s="131"/>
      <c r="D132" s="132"/>
      <c r="E132" s="132"/>
      <c r="F132" s="133"/>
      <c r="G132" s="134"/>
      <c r="H132" s="1153"/>
    </row>
    <row r="133" spans="1:8">
      <c r="A133" s="506"/>
      <c r="B133" s="508"/>
      <c r="C133" s="131"/>
      <c r="D133" s="132"/>
      <c r="E133" s="132"/>
      <c r="F133" s="133"/>
      <c r="G133" s="134"/>
      <c r="H133" s="1153"/>
    </row>
    <row r="134" spans="1:8">
      <c r="A134" s="506"/>
      <c r="B134" s="508"/>
      <c r="C134" s="131"/>
      <c r="D134" s="132"/>
      <c r="E134" s="132"/>
      <c r="F134" s="133"/>
      <c r="G134" s="134"/>
      <c r="H134" s="1153"/>
    </row>
    <row r="135" spans="1:8">
      <c r="A135" s="506"/>
      <c r="B135" s="508"/>
      <c r="C135" s="131"/>
      <c r="D135" s="132"/>
      <c r="E135" s="132"/>
      <c r="F135" s="133"/>
      <c r="G135" s="134"/>
      <c r="H135" s="1153"/>
    </row>
    <row r="136" spans="1:8">
      <c r="A136" s="506"/>
      <c r="B136" s="508"/>
      <c r="C136" s="131"/>
      <c r="D136" s="132"/>
      <c r="E136" s="132"/>
      <c r="F136" s="133"/>
      <c r="G136" s="134"/>
      <c r="H136" s="1153"/>
    </row>
    <row r="137" spans="1:8">
      <c r="A137" s="506"/>
      <c r="B137" s="508"/>
      <c r="C137" s="131"/>
      <c r="D137" s="132"/>
      <c r="E137" s="132"/>
      <c r="F137" s="133"/>
      <c r="G137" s="134"/>
      <c r="H137" s="1153"/>
    </row>
    <row r="138" spans="1:8">
      <c r="A138" s="506"/>
      <c r="B138" s="508"/>
      <c r="C138" s="131"/>
      <c r="D138" s="132"/>
      <c r="E138" s="132"/>
      <c r="F138" s="133"/>
      <c r="G138" s="134"/>
      <c r="H138" s="1153"/>
    </row>
    <row r="139" spans="1:8">
      <c r="A139" s="506"/>
      <c r="B139" s="508"/>
      <c r="C139" s="131"/>
      <c r="D139" s="132"/>
      <c r="E139" s="132"/>
      <c r="F139" s="133"/>
      <c r="G139" s="134"/>
      <c r="H139" s="1153"/>
    </row>
    <row r="140" spans="1:8">
      <c r="A140" s="506"/>
      <c r="B140" s="508"/>
      <c r="C140" s="131"/>
      <c r="D140" s="132"/>
      <c r="E140" s="132"/>
      <c r="F140" s="133"/>
      <c r="G140" s="134"/>
      <c r="H140" s="1153"/>
    </row>
    <row r="141" spans="1:8">
      <c r="A141" s="506"/>
      <c r="B141" s="508"/>
      <c r="C141" s="131"/>
      <c r="D141" s="132"/>
      <c r="E141" s="132"/>
      <c r="F141" s="133"/>
      <c r="G141" s="134"/>
      <c r="H141" s="1153"/>
    </row>
    <row r="142" spans="1:8">
      <c r="A142" s="506"/>
      <c r="B142" s="508"/>
      <c r="C142" s="131"/>
      <c r="D142" s="132"/>
      <c r="E142" s="132"/>
      <c r="F142" s="133"/>
      <c r="G142" s="134"/>
      <c r="H142" s="1153"/>
    </row>
    <row r="143" spans="1:8">
      <c r="A143" s="506"/>
      <c r="B143" s="508"/>
      <c r="C143" s="131"/>
      <c r="D143" s="132"/>
      <c r="E143" s="132"/>
      <c r="F143" s="133"/>
      <c r="G143" s="134"/>
      <c r="H143" s="1153"/>
    </row>
    <row r="144" spans="1:8">
      <c r="A144" s="506"/>
      <c r="B144" s="508"/>
      <c r="C144" s="131"/>
      <c r="D144" s="132"/>
      <c r="E144" s="132"/>
      <c r="F144" s="133"/>
      <c r="G144" s="134"/>
      <c r="H144" s="1153"/>
    </row>
    <row r="145" spans="1:8">
      <c r="A145" s="506"/>
      <c r="B145" s="508"/>
      <c r="C145" s="131"/>
      <c r="D145" s="132"/>
      <c r="E145" s="132"/>
      <c r="F145" s="133"/>
      <c r="G145" s="134"/>
      <c r="H145" s="1153"/>
    </row>
    <row r="146" spans="1:8">
      <c r="A146" s="506"/>
      <c r="B146" s="508"/>
      <c r="C146" s="131"/>
      <c r="D146" s="132"/>
      <c r="E146" s="132"/>
      <c r="F146" s="133"/>
      <c r="G146" s="134"/>
      <c r="H146" s="1153"/>
    </row>
    <row r="147" spans="1:8">
      <c r="A147" s="506"/>
      <c r="B147" s="508"/>
      <c r="C147" s="131"/>
      <c r="D147" s="132"/>
      <c r="E147" s="132"/>
      <c r="F147" s="133"/>
      <c r="G147" s="134"/>
      <c r="H147" s="1153"/>
    </row>
    <row r="148" spans="1:8">
      <c r="A148" s="506"/>
      <c r="B148" s="508"/>
      <c r="C148" s="131"/>
      <c r="D148" s="132"/>
      <c r="E148" s="132"/>
      <c r="F148" s="133"/>
      <c r="G148" s="134"/>
      <c r="H148" s="1153"/>
    </row>
    <row r="149" spans="1:8">
      <c r="A149" s="506"/>
      <c r="B149" s="508"/>
      <c r="C149" s="131"/>
      <c r="D149" s="132"/>
      <c r="E149" s="132"/>
      <c r="F149" s="133"/>
      <c r="G149" s="134"/>
      <c r="H149" s="1153"/>
    </row>
    <row r="150" spans="1:8">
      <c r="A150" s="506"/>
      <c r="B150" s="508"/>
      <c r="C150" s="131"/>
      <c r="D150" s="132"/>
      <c r="E150" s="132"/>
      <c r="F150" s="133"/>
      <c r="G150" s="134"/>
      <c r="H150" s="1153"/>
    </row>
    <row r="151" spans="1:8">
      <c r="A151" s="506"/>
      <c r="B151" s="508"/>
      <c r="C151" s="131"/>
      <c r="D151" s="132"/>
      <c r="E151" s="132"/>
      <c r="F151" s="133"/>
      <c r="G151" s="134"/>
      <c r="H151" s="1153"/>
    </row>
    <row r="152" spans="1:8">
      <c r="A152" s="506"/>
      <c r="B152" s="508"/>
      <c r="C152" s="131"/>
      <c r="D152" s="132"/>
      <c r="E152" s="132"/>
      <c r="F152" s="133"/>
      <c r="G152" s="134"/>
      <c r="H152" s="1153"/>
    </row>
    <row r="153" spans="1:8">
      <c r="A153" s="506"/>
      <c r="B153" s="508"/>
      <c r="C153" s="131"/>
      <c r="D153" s="132"/>
      <c r="E153" s="132"/>
      <c r="F153" s="133"/>
      <c r="G153" s="134"/>
      <c r="H153" s="1153"/>
    </row>
    <row r="154" spans="1:8">
      <c r="A154" s="506"/>
      <c r="B154" s="508"/>
      <c r="C154" s="131"/>
      <c r="D154" s="132"/>
      <c r="E154" s="132"/>
      <c r="F154" s="133"/>
      <c r="G154" s="134"/>
      <c r="H154" s="1153"/>
    </row>
    <row r="155" spans="1:8">
      <c r="A155" s="506"/>
      <c r="B155" s="508"/>
      <c r="C155" s="131"/>
      <c r="D155" s="132"/>
      <c r="E155" s="132"/>
      <c r="F155" s="133"/>
      <c r="G155" s="134"/>
      <c r="H155" s="1153"/>
    </row>
    <row r="156" spans="1:8">
      <c r="A156" s="506"/>
      <c r="B156" s="508"/>
      <c r="C156" s="131"/>
      <c r="D156" s="132"/>
      <c r="E156" s="132"/>
      <c r="F156" s="133"/>
      <c r="G156" s="134"/>
      <c r="H156" s="1153"/>
    </row>
    <row r="157" spans="1:8">
      <c r="A157" s="506"/>
      <c r="B157" s="508"/>
      <c r="C157" s="131"/>
      <c r="D157" s="132"/>
      <c r="E157" s="132"/>
      <c r="F157" s="133"/>
      <c r="G157" s="134"/>
      <c r="H157" s="1153"/>
    </row>
    <row r="158" spans="1:8">
      <c r="A158" s="506"/>
      <c r="B158" s="508"/>
      <c r="C158" s="131"/>
      <c r="D158" s="132"/>
      <c r="E158" s="132"/>
      <c r="F158" s="133"/>
      <c r="G158" s="134"/>
      <c r="H158" s="1153"/>
    </row>
    <row r="159" spans="1:8">
      <c r="A159" s="506"/>
      <c r="B159" s="508"/>
      <c r="C159" s="131"/>
      <c r="D159" s="132"/>
      <c r="E159" s="132"/>
      <c r="F159" s="133"/>
      <c r="G159" s="134"/>
      <c r="H159" s="1153"/>
    </row>
    <row r="160" spans="1:8">
      <c r="A160" s="506"/>
      <c r="B160" s="508"/>
      <c r="C160" s="131"/>
      <c r="D160" s="132"/>
      <c r="E160" s="132"/>
      <c r="F160" s="133"/>
      <c r="G160" s="134"/>
      <c r="H160" s="1153"/>
    </row>
    <row r="161" spans="1:8">
      <c r="A161" s="506"/>
      <c r="B161" s="508"/>
      <c r="C161" s="131"/>
      <c r="D161" s="132"/>
      <c r="E161" s="132"/>
      <c r="F161" s="133"/>
      <c r="G161" s="134"/>
      <c r="H161" s="1153"/>
    </row>
    <row r="162" spans="1:8">
      <c r="A162" s="506"/>
      <c r="B162" s="508"/>
      <c r="C162" s="131"/>
      <c r="D162" s="132"/>
      <c r="E162" s="132"/>
      <c r="F162" s="133"/>
      <c r="G162" s="134"/>
      <c r="H162" s="1153"/>
    </row>
    <row r="163" spans="1:8">
      <c r="A163" s="506"/>
      <c r="B163" s="508"/>
      <c r="C163" s="131"/>
      <c r="D163" s="132"/>
      <c r="E163" s="132"/>
      <c r="F163" s="133"/>
      <c r="G163" s="134"/>
      <c r="H163" s="1153"/>
    </row>
    <row r="164" spans="1:8">
      <c r="A164" s="506"/>
      <c r="B164" s="508"/>
      <c r="C164" s="131"/>
      <c r="D164" s="132"/>
      <c r="E164" s="132"/>
      <c r="F164" s="133"/>
      <c r="G164" s="134"/>
      <c r="H164" s="1153"/>
    </row>
    <row r="165" spans="1:8">
      <c r="A165" s="506"/>
      <c r="B165" s="508"/>
      <c r="C165" s="131"/>
      <c r="D165" s="132"/>
      <c r="E165" s="132"/>
      <c r="F165" s="133"/>
      <c r="G165" s="134"/>
      <c r="H165" s="1153"/>
    </row>
    <row r="166" spans="1:8">
      <c r="A166" s="506"/>
      <c r="B166" s="508"/>
      <c r="C166" s="131"/>
      <c r="D166" s="132"/>
      <c r="E166" s="132"/>
      <c r="F166" s="133"/>
      <c r="G166" s="134"/>
      <c r="H166" s="1153"/>
    </row>
    <row r="167" spans="1:8">
      <c r="A167" s="506"/>
      <c r="B167" s="508"/>
      <c r="C167" s="131"/>
      <c r="D167" s="132"/>
      <c r="E167" s="132"/>
      <c r="F167" s="133"/>
      <c r="G167" s="134"/>
      <c r="H167" s="1153"/>
    </row>
    <row r="168" spans="1:8">
      <c r="A168" s="506"/>
      <c r="B168" s="508"/>
      <c r="C168" s="131"/>
      <c r="D168" s="132"/>
      <c r="E168" s="132"/>
      <c r="F168" s="133"/>
      <c r="G168" s="134"/>
      <c r="H168" s="1153"/>
    </row>
    <row r="169" spans="1:8">
      <c r="A169" s="506"/>
      <c r="B169" s="508"/>
      <c r="C169" s="131"/>
      <c r="D169" s="132"/>
      <c r="E169" s="132"/>
      <c r="F169" s="133"/>
      <c r="G169" s="134"/>
      <c r="H169" s="1153"/>
    </row>
    <row r="170" spans="1:8">
      <c r="A170" s="506"/>
      <c r="B170" s="508"/>
      <c r="C170" s="131"/>
      <c r="D170" s="132"/>
      <c r="E170" s="132"/>
      <c r="F170" s="133"/>
      <c r="G170" s="134"/>
      <c r="H170" s="1153"/>
    </row>
    <row r="171" spans="1:8">
      <c r="A171" s="506"/>
      <c r="B171" s="508"/>
      <c r="C171" s="131"/>
      <c r="D171" s="132"/>
      <c r="E171" s="132"/>
      <c r="F171" s="133"/>
      <c r="G171" s="134"/>
      <c r="H171" s="1153"/>
    </row>
    <row r="172" spans="1:8">
      <c r="A172" s="506"/>
      <c r="B172" s="508"/>
      <c r="C172" s="131"/>
      <c r="D172" s="132"/>
      <c r="E172" s="132"/>
      <c r="F172" s="133"/>
      <c r="G172" s="134"/>
      <c r="H172" s="1153"/>
    </row>
    <row r="173" spans="1:8">
      <c r="A173" s="506"/>
      <c r="B173" s="508"/>
      <c r="C173" s="131"/>
      <c r="D173" s="132"/>
      <c r="E173" s="132"/>
      <c r="F173" s="133"/>
      <c r="G173" s="134"/>
      <c r="H173" s="1153"/>
    </row>
    <row r="174" spans="1:8">
      <c r="A174" s="506"/>
      <c r="B174" s="508"/>
      <c r="C174" s="131"/>
      <c r="D174" s="132"/>
      <c r="E174" s="132"/>
      <c r="F174" s="133"/>
      <c r="G174" s="134"/>
      <c r="H174" s="1153"/>
    </row>
    <row r="175" spans="1:8">
      <c r="A175" s="506"/>
      <c r="B175" s="508"/>
      <c r="C175" s="131"/>
      <c r="D175" s="132"/>
      <c r="E175" s="132"/>
      <c r="F175" s="133"/>
      <c r="G175" s="134"/>
      <c r="H175" s="1153"/>
    </row>
    <row r="176" spans="1:8">
      <c r="A176" s="506"/>
      <c r="B176" s="508"/>
      <c r="C176" s="131"/>
      <c r="D176" s="132"/>
      <c r="E176" s="132"/>
      <c r="F176" s="133"/>
      <c r="G176" s="134"/>
      <c r="H176" s="1153"/>
    </row>
    <row r="177" spans="1:8">
      <c r="A177" s="506"/>
      <c r="B177" s="508"/>
      <c r="C177" s="131"/>
      <c r="D177" s="132"/>
      <c r="E177" s="132"/>
      <c r="F177" s="133"/>
      <c r="G177" s="134"/>
      <c r="H177" s="1153"/>
    </row>
    <row r="178" spans="1:8">
      <c r="A178" s="506"/>
      <c r="B178" s="508"/>
      <c r="C178" s="131"/>
      <c r="D178" s="132"/>
      <c r="E178" s="132"/>
      <c r="F178" s="133"/>
      <c r="G178" s="134"/>
      <c r="H178" s="1153"/>
    </row>
    <row r="179" spans="1:8">
      <c r="A179" s="506"/>
      <c r="B179" s="508"/>
      <c r="C179" s="131"/>
      <c r="D179" s="132"/>
      <c r="E179" s="132"/>
      <c r="F179" s="133"/>
      <c r="G179" s="134"/>
      <c r="H179" s="1153"/>
    </row>
    <row r="180" spans="1:8">
      <c r="A180" s="506"/>
      <c r="B180" s="508"/>
      <c r="C180" s="131"/>
      <c r="D180" s="132"/>
      <c r="E180" s="132"/>
      <c r="F180" s="133"/>
      <c r="G180" s="134"/>
      <c r="H180" s="1153"/>
    </row>
    <row r="181" spans="1:8">
      <c r="A181" s="506"/>
      <c r="B181" s="508"/>
      <c r="C181" s="131"/>
      <c r="D181" s="132"/>
      <c r="E181" s="132"/>
      <c r="F181" s="133"/>
      <c r="G181" s="134"/>
      <c r="H181" s="1153"/>
    </row>
    <row r="182" spans="1:8">
      <c r="A182" s="506"/>
      <c r="B182" s="508"/>
      <c r="C182" s="131"/>
      <c r="D182" s="132"/>
      <c r="E182" s="132"/>
      <c r="F182" s="133"/>
      <c r="G182" s="134"/>
      <c r="H182" s="1153"/>
    </row>
    <row r="183" spans="1:8">
      <c r="A183" s="506"/>
      <c r="B183" s="508"/>
      <c r="C183" s="131"/>
      <c r="D183" s="132"/>
      <c r="E183" s="132"/>
      <c r="F183" s="133"/>
      <c r="G183" s="134"/>
      <c r="H183" s="1153"/>
    </row>
    <row r="184" spans="1:8">
      <c r="A184" s="506"/>
      <c r="B184" s="508"/>
      <c r="C184" s="131"/>
      <c r="D184" s="132"/>
      <c r="E184" s="132"/>
      <c r="F184" s="133"/>
      <c r="G184" s="134"/>
      <c r="H184" s="1153"/>
    </row>
    <row r="185" spans="1:8">
      <c r="A185" s="506"/>
      <c r="B185" s="508"/>
      <c r="C185" s="131"/>
      <c r="D185" s="132"/>
      <c r="E185" s="132"/>
      <c r="F185" s="133"/>
      <c r="G185" s="134"/>
      <c r="H185" s="1153"/>
    </row>
    <row r="186" spans="1:8">
      <c r="A186" s="506"/>
      <c r="B186" s="508"/>
      <c r="C186" s="131"/>
      <c r="D186" s="132"/>
      <c r="E186" s="132"/>
      <c r="F186" s="133"/>
      <c r="G186" s="134"/>
      <c r="H186" s="1153"/>
    </row>
    <row r="187" spans="1:8">
      <c r="A187" s="506"/>
      <c r="B187" s="508"/>
      <c r="C187" s="131"/>
      <c r="D187" s="132"/>
      <c r="E187" s="132"/>
      <c r="F187" s="133"/>
      <c r="G187" s="134"/>
      <c r="H187" s="1153"/>
    </row>
    <row r="188" spans="1:8">
      <c r="A188" s="506"/>
      <c r="B188" s="508"/>
      <c r="C188" s="131"/>
      <c r="D188" s="132"/>
      <c r="E188" s="132"/>
      <c r="F188" s="133"/>
      <c r="G188" s="134"/>
      <c r="H188" s="1153"/>
    </row>
    <row r="189" spans="1:8">
      <c r="A189" s="506"/>
      <c r="B189" s="508"/>
      <c r="C189" s="131"/>
      <c r="D189" s="132"/>
      <c r="E189" s="132"/>
      <c r="F189" s="133"/>
      <c r="G189" s="134"/>
      <c r="H189" s="1153"/>
    </row>
    <row r="190" spans="1:8">
      <c r="A190" s="506"/>
      <c r="B190" s="508"/>
      <c r="C190" s="131"/>
      <c r="D190" s="132"/>
      <c r="E190" s="132"/>
      <c r="F190" s="133"/>
      <c r="G190" s="134"/>
      <c r="H190" s="1153"/>
    </row>
    <row r="191" spans="1:8">
      <c r="A191" s="506"/>
      <c r="B191" s="508"/>
      <c r="C191" s="131"/>
      <c r="D191" s="132"/>
      <c r="E191" s="132"/>
      <c r="F191" s="133"/>
      <c r="G191" s="134"/>
      <c r="H191" s="1153"/>
    </row>
    <row r="192" spans="1:8">
      <c r="A192" s="506"/>
      <c r="B192" s="508"/>
      <c r="C192" s="131"/>
      <c r="D192" s="132"/>
      <c r="E192" s="132"/>
      <c r="F192" s="133"/>
      <c r="G192" s="134"/>
      <c r="H192" s="1153"/>
    </row>
    <row r="193" spans="1:8">
      <c r="A193" s="506"/>
      <c r="B193" s="508"/>
      <c r="C193" s="131"/>
      <c r="D193" s="132"/>
      <c r="E193" s="132"/>
      <c r="F193" s="133"/>
      <c r="G193" s="134"/>
      <c r="H193" s="1153"/>
    </row>
    <row r="194" spans="1:8">
      <c r="A194" s="506"/>
      <c r="B194" s="508"/>
      <c r="C194" s="131"/>
      <c r="D194" s="132"/>
      <c r="E194" s="132"/>
      <c r="F194" s="133"/>
      <c r="G194" s="134"/>
      <c r="H194" s="1153"/>
    </row>
    <row r="195" spans="1:8">
      <c r="A195" s="506"/>
      <c r="B195" s="508"/>
      <c r="C195" s="131"/>
      <c r="D195" s="132"/>
      <c r="E195" s="132"/>
      <c r="F195" s="133"/>
      <c r="G195" s="134"/>
      <c r="H195" s="1153"/>
    </row>
    <row r="196" spans="1:8">
      <c r="A196" s="506"/>
      <c r="B196" s="508"/>
      <c r="C196" s="131"/>
      <c r="D196" s="132"/>
      <c r="E196" s="132"/>
      <c r="F196" s="133"/>
      <c r="G196" s="134"/>
      <c r="H196" s="1153"/>
    </row>
    <row r="197" spans="1:8">
      <c r="A197" s="506"/>
      <c r="B197" s="508"/>
      <c r="C197" s="131"/>
      <c r="D197" s="132"/>
      <c r="E197" s="132"/>
      <c r="F197" s="133"/>
      <c r="G197" s="134"/>
      <c r="H197" s="1153"/>
    </row>
    <row r="198" spans="1:8">
      <c r="A198" s="506"/>
      <c r="B198" s="508"/>
      <c r="C198" s="131"/>
      <c r="D198" s="132"/>
      <c r="E198" s="132"/>
      <c r="F198" s="133"/>
      <c r="G198" s="134"/>
      <c r="H198" s="1153"/>
    </row>
    <row r="199" spans="1:8">
      <c r="A199" s="506"/>
      <c r="B199" s="508"/>
      <c r="C199" s="131"/>
      <c r="D199" s="132"/>
      <c r="E199" s="132"/>
      <c r="F199" s="133"/>
      <c r="G199" s="134"/>
      <c r="H199" s="1153"/>
    </row>
    <row r="200" spans="1:8">
      <c r="A200" s="506"/>
      <c r="B200" s="508"/>
      <c r="C200" s="131"/>
      <c r="D200" s="132"/>
      <c r="E200" s="132"/>
      <c r="F200" s="133"/>
      <c r="G200" s="134"/>
      <c r="H200" s="1153"/>
    </row>
    <row r="201" spans="1:8">
      <c r="A201" s="506"/>
      <c r="B201" s="508"/>
      <c r="C201" s="131"/>
      <c r="D201" s="132"/>
      <c r="E201" s="132"/>
      <c r="F201" s="133"/>
      <c r="G201" s="134"/>
      <c r="H201" s="1153"/>
    </row>
    <row r="202" spans="1:8">
      <c r="A202" s="506"/>
      <c r="B202" s="508"/>
      <c r="C202" s="131"/>
      <c r="D202" s="132"/>
      <c r="E202" s="132"/>
      <c r="F202" s="133"/>
      <c r="G202" s="134"/>
      <c r="H202" s="1153"/>
    </row>
    <row r="203" spans="1:8">
      <c r="A203" s="506"/>
      <c r="B203" s="508"/>
      <c r="C203" s="131"/>
      <c r="D203" s="132"/>
      <c r="E203" s="132"/>
      <c r="F203" s="133"/>
      <c r="G203" s="134"/>
      <c r="H203" s="1153"/>
    </row>
    <row r="204" spans="1:8">
      <c r="A204" s="506"/>
      <c r="B204" s="508"/>
      <c r="C204" s="131"/>
      <c r="D204" s="132"/>
      <c r="E204" s="132"/>
      <c r="F204" s="133"/>
      <c r="G204" s="134"/>
      <c r="H204" s="1153"/>
    </row>
    <row r="205" spans="1:8">
      <c r="A205" s="506"/>
      <c r="B205" s="508"/>
      <c r="C205" s="131"/>
      <c r="D205" s="132"/>
      <c r="E205" s="132"/>
      <c r="F205" s="133"/>
      <c r="G205" s="134"/>
      <c r="H205" s="1153"/>
    </row>
    <row r="206" spans="1:8">
      <c r="A206" s="506"/>
      <c r="B206" s="508"/>
      <c r="C206" s="131"/>
      <c r="D206" s="132"/>
      <c r="E206" s="132"/>
      <c r="F206" s="133"/>
      <c r="G206" s="134"/>
      <c r="H206" s="1153"/>
    </row>
    <row r="207" spans="1:8">
      <c r="A207" s="506"/>
      <c r="B207" s="508"/>
      <c r="C207" s="131"/>
      <c r="D207" s="132"/>
      <c r="E207" s="132"/>
      <c r="F207" s="133"/>
      <c r="G207" s="134"/>
      <c r="H207" s="1153"/>
    </row>
    <row r="208" spans="1:8">
      <c r="A208" s="506"/>
      <c r="B208" s="508"/>
      <c r="C208" s="131"/>
      <c r="D208" s="132"/>
      <c r="E208" s="132"/>
      <c r="F208" s="133"/>
      <c r="G208" s="134"/>
      <c r="H208" s="1153"/>
    </row>
    <row r="209" spans="1:8">
      <c r="A209" s="506"/>
      <c r="B209" s="508"/>
      <c r="C209" s="131"/>
      <c r="D209" s="132"/>
      <c r="E209" s="132"/>
      <c r="F209" s="133"/>
      <c r="G209" s="134"/>
      <c r="H209" s="1153"/>
    </row>
    <row r="210" spans="1:8">
      <c r="A210" s="506"/>
      <c r="B210" s="508"/>
      <c r="C210" s="131"/>
      <c r="D210" s="132"/>
      <c r="E210" s="132"/>
      <c r="F210" s="133"/>
      <c r="G210" s="134"/>
      <c r="H210" s="1153"/>
    </row>
    <row r="211" spans="1:8">
      <c r="A211" s="506"/>
      <c r="B211" s="508"/>
      <c r="C211" s="131"/>
      <c r="D211" s="132"/>
      <c r="E211" s="132"/>
      <c r="F211" s="133"/>
      <c r="G211" s="134"/>
      <c r="H211" s="1153"/>
    </row>
    <row r="212" spans="1:8">
      <c r="A212" s="506"/>
      <c r="B212" s="508"/>
      <c r="C212" s="131"/>
      <c r="D212" s="132"/>
      <c r="E212" s="132"/>
      <c r="F212" s="133"/>
      <c r="G212" s="134"/>
      <c r="H212" s="1153"/>
    </row>
    <row r="213" spans="1:8">
      <c r="A213" s="506"/>
      <c r="B213" s="508"/>
      <c r="C213" s="131"/>
      <c r="D213" s="132"/>
      <c r="E213" s="132"/>
      <c r="F213" s="133"/>
      <c r="G213" s="134"/>
      <c r="H213" s="1153"/>
    </row>
    <row r="214" spans="1:8">
      <c r="A214" s="506"/>
      <c r="B214" s="508"/>
      <c r="C214" s="131"/>
      <c r="D214" s="132"/>
      <c r="E214" s="132"/>
      <c r="F214" s="133"/>
      <c r="G214" s="134"/>
      <c r="H214" s="1153"/>
    </row>
    <row r="215" spans="1:8">
      <c r="A215" s="506"/>
      <c r="B215" s="508"/>
      <c r="C215" s="131"/>
      <c r="D215" s="132"/>
      <c r="E215" s="132"/>
      <c r="F215" s="133"/>
      <c r="G215" s="134"/>
      <c r="H215" s="1153"/>
    </row>
    <row r="216" spans="1:8">
      <c r="A216" s="506"/>
      <c r="B216" s="508"/>
      <c r="C216" s="131"/>
      <c r="D216" s="132"/>
      <c r="E216" s="132"/>
      <c r="F216" s="133"/>
      <c r="G216" s="134"/>
      <c r="H216" s="1153"/>
    </row>
    <row r="217" spans="1:8">
      <c r="A217" s="506"/>
      <c r="B217" s="508"/>
      <c r="C217" s="131"/>
      <c r="D217" s="132"/>
      <c r="E217" s="132"/>
      <c r="F217" s="133"/>
      <c r="G217" s="134"/>
      <c r="H217" s="1153"/>
    </row>
    <row r="218" spans="1:8">
      <c r="A218" s="506"/>
      <c r="B218" s="508"/>
      <c r="C218" s="131"/>
      <c r="D218" s="132"/>
      <c r="E218" s="132"/>
      <c r="F218" s="133"/>
      <c r="G218" s="134"/>
      <c r="H218" s="1153"/>
    </row>
    <row r="219" spans="1:8">
      <c r="A219" s="506"/>
      <c r="B219" s="508"/>
      <c r="C219" s="131"/>
      <c r="D219" s="132"/>
      <c r="E219" s="132"/>
      <c r="F219" s="133"/>
      <c r="G219" s="134"/>
      <c r="H219" s="1153"/>
    </row>
    <row r="220" spans="1:8">
      <c r="A220" s="506"/>
      <c r="B220" s="508"/>
      <c r="C220" s="131"/>
      <c r="D220" s="132"/>
      <c r="E220" s="132"/>
      <c r="F220" s="133"/>
      <c r="G220" s="134"/>
      <c r="H220" s="1153"/>
    </row>
    <row r="221" spans="1:8">
      <c r="A221" s="506"/>
      <c r="B221" s="508"/>
      <c r="C221" s="131"/>
      <c r="D221" s="132"/>
      <c r="E221" s="132"/>
      <c r="F221" s="133"/>
      <c r="G221" s="134"/>
      <c r="H221" s="1153"/>
    </row>
    <row r="222" spans="1:8">
      <c r="A222" s="506"/>
      <c r="B222" s="508"/>
      <c r="C222" s="131"/>
      <c r="D222" s="132"/>
      <c r="E222" s="132"/>
      <c r="F222" s="133"/>
      <c r="G222" s="134"/>
      <c r="H222" s="1153"/>
    </row>
    <row r="223" spans="1:8">
      <c r="A223" s="506"/>
      <c r="B223" s="508"/>
      <c r="C223" s="131"/>
      <c r="D223" s="132"/>
      <c r="E223" s="132"/>
      <c r="F223" s="133"/>
      <c r="G223" s="134"/>
      <c r="H223" s="1153"/>
    </row>
    <row r="224" spans="1:8">
      <c r="A224" s="506"/>
      <c r="B224" s="508"/>
      <c r="C224" s="131"/>
      <c r="D224" s="132"/>
      <c r="E224" s="132"/>
      <c r="F224" s="133"/>
      <c r="G224" s="134"/>
      <c r="H224" s="1153"/>
    </row>
    <row r="225" spans="1:8">
      <c r="A225" s="506"/>
      <c r="B225" s="508"/>
      <c r="C225" s="131"/>
      <c r="D225" s="132"/>
      <c r="E225" s="132"/>
      <c r="F225" s="133"/>
      <c r="G225" s="134"/>
      <c r="H225" s="1153"/>
    </row>
    <row r="226" spans="1:8">
      <c r="A226" s="506"/>
      <c r="B226" s="508"/>
      <c r="C226" s="131"/>
      <c r="D226" s="132"/>
      <c r="E226" s="132"/>
      <c r="F226" s="133"/>
      <c r="G226" s="134"/>
      <c r="H226" s="1153"/>
    </row>
    <row r="227" spans="1:8">
      <c r="A227" s="506"/>
      <c r="B227" s="508"/>
      <c r="C227" s="131"/>
      <c r="D227" s="132"/>
      <c r="E227" s="132"/>
      <c r="F227" s="133"/>
      <c r="G227" s="134"/>
      <c r="H227" s="1153"/>
    </row>
    <row r="228" spans="1:8">
      <c r="A228" s="506"/>
      <c r="B228" s="508"/>
      <c r="C228" s="131"/>
      <c r="D228" s="132"/>
      <c r="E228" s="132"/>
      <c r="F228" s="133"/>
      <c r="G228" s="134"/>
      <c r="H228" s="1153"/>
    </row>
    <row r="229" spans="1:8">
      <c r="A229" s="506"/>
      <c r="B229" s="508"/>
      <c r="C229" s="131"/>
      <c r="D229" s="132"/>
      <c r="E229" s="132"/>
      <c r="F229" s="133"/>
      <c r="G229" s="134"/>
      <c r="H229" s="1153"/>
    </row>
    <row r="230" spans="1:8">
      <c r="A230" s="506"/>
      <c r="B230" s="508"/>
      <c r="C230" s="131"/>
      <c r="D230" s="132"/>
      <c r="E230" s="132"/>
      <c r="F230" s="133"/>
      <c r="G230" s="134"/>
      <c r="H230" s="1153"/>
    </row>
    <row r="231" spans="1:8">
      <c r="A231" s="506"/>
      <c r="B231" s="508"/>
      <c r="C231" s="131"/>
      <c r="D231" s="132"/>
      <c r="E231" s="132"/>
      <c r="F231" s="133"/>
      <c r="G231" s="134"/>
      <c r="H231" s="1153"/>
    </row>
    <row r="232" spans="1:8">
      <c r="A232" s="506"/>
      <c r="B232" s="508"/>
      <c r="C232" s="131"/>
      <c r="D232" s="132"/>
      <c r="E232" s="132"/>
      <c r="F232" s="133"/>
      <c r="G232" s="134"/>
      <c r="H232" s="1153"/>
    </row>
    <row r="233" spans="1:8">
      <c r="A233" s="506"/>
      <c r="B233" s="508"/>
      <c r="C233" s="131"/>
      <c r="D233" s="132"/>
      <c r="E233" s="132"/>
      <c r="F233" s="133"/>
      <c r="G233" s="134"/>
      <c r="H233" s="1153"/>
    </row>
    <row r="234" spans="1:8">
      <c r="A234" s="506"/>
      <c r="B234" s="508"/>
      <c r="C234" s="131"/>
      <c r="D234" s="132"/>
      <c r="E234" s="132"/>
      <c r="F234" s="133"/>
      <c r="G234" s="134"/>
      <c r="H234" s="1153"/>
    </row>
    <row r="235" spans="1:8">
      <c r="A235" s="506"/>
      <c r="B235" s="508"/>
      <c r="C235" s="131"/>
      <c r="D235" s="132"/>
      <c r="E235" s="132"/>
      <c r="F235" s="133"/>
      <c r="G235" s="134"/>
      <c r="H235" s="1153"/>
    </row>
    <row r="236" spans="1:8">
      <c r="A236" s="506"/>
      <c r="B236" s="508"/>
      <c r="C236" s="131"/>
      <c r="D236" s="132"/>
      <c r="E236" s="132"/>
      <c r="F236" s="133"/>
      <c r="G236" s="134"/>
      <c r="H236" s="1153"/>
    </row>
    <row r="237" spans="1:8">
      <c r="A237" s="506"/>
      <c r="B237" s="508"/>
      <c r="C237" s="131"/>
      <c r="D237" s="132"/>
      <c r="E237" s="132"/>
      <c r="F237" s="133"/>
      <c r="G237" s="134"/>
      <c r="H237" s="1153"/>
    </row>
    <row r="238" spans="1:8">
      <c r="A238" s="506"/>
      <c r="B238" s="508"/>
      <c r="C238" s="131"/>
      <c r="D238" s="132"/>
      <c r="E238" s="132"/>
      <c r="F238" s="133"/>
      <c r="G238" s="134"/>
      <c r="H238" s="1153"/>
    </row>
    <row r="239" spans="1:8">
      <c r="A239" s="506"/>
      <c r="B239" s="508"/>
      <c r="C239" s="131"/>
      <c r="D239" s="132"/>
      <c r="E239" s="132"/>
      <c r="F239" s="133"/>
      <c r="G239" s="134"/>
      <c r="H239" s="1153"/>
    </row>
    <row r="240" spans="1:8">
      <c r="A240" s="506"/>
      <c r="B240" s="508"/>
      <c r="C240" s="131"/>
      <c r="D240" s="132"/>
      <c r="E240" s="132"/>
      <c r="F240" s="133"/>
      <c r="G240" s="134"/>
      <c r="H240" s="1153"/>
    </row>
    <row r="241" spans="1:8">
      <c r="A241" s="506"/>
      <c r="B241" s="508"/>
      <c r="C241" s="131"/>
      <c r="D241" s="132"/>
      <c r="E241" s="132"/>
      <c r="F241" s="133"/>
      <c r="G241" s="134"/>
      <c r="H241" s="1153"/>
    </row>
    <row r="242" spans="1:8">
      <c r="A242" s="506"/>
      <c r="B242" s="508"/>
      <c r="C242" s="131"/>
      <c r="D242" s="132"/>
      <c r="E242" s="132"/>
      <c r="F242" s="133"/>
      <c r="G242" s="134"/>
      <c r="H242" s="1153"/>
    </row>
    <row r="243" spans="1:8">
      <c r="A243" s="506"/>
      <c r="B243" s="508"/>
      <c r="C243" s="131"/>
      <c r="D243" s="132"/>
      <c r="E243" s="132"/>
      <c r="F243" s="133"/>
      <c r="G243" s="134"/>
      <c r="H243" s="1153"/>
    </row>
    <row r="244" spans="1:8">
      <c r="A244" s="506"/>
      <c r="B244" s="508"/>
      <c r="C244" s="131"/>
      <c r="D244" s="132"/>
      <c r="E244" s="132"/>
      <c r="F244" s="133"/>
      <c r="G244" s="134"/>
      <c r="H244" s="1153"/>
    </row>
    <row r="245" spans="1:8">
      <c r="A245" s="506"/>
      <c r="B245" s="508"/>
      <c r="C245" s="131"/>
      <c r="D245" s="132"/>
      <c r="E245" s="132"/>
      <c r="F245" s="133"/>
      <c r="G245" s="134"/>
      <c r="H245" s="1153"/>
    </row>
    <row r="246" spans="1:8">
      <c r="A246" s="506"/>
      <c r="B246" s="508"/>
      <c r="C246" s="131"/>
      <c r="D246" s="132"/>
      <c r="E246" s="132"/>
      <c r="F246" s="133"/>
      <c r="G246" s="134"/>
      <c r="H246" s="1153"/>
    </row>
    <row r="247" spans="1:8">
      <c r="A247" s="506"/>
      <c r="B247" s="508"/>
      <c r="C247" s="131"/>
      <c r="D247" s="132"/>
      <c r="E247" s="132"/>
      <c r="F247" s="133"/>
      <c r="G247" s="134"/>
      <c r="H247" s="1153"/>
    </row>
    <row r="248" spans="1:8">
      <c r="A248" s="506"/>
      <c r="B248" s="508"/>
      <c r="C248" s="131"/>
      <c r="D248" s="132"/>
      <c r="E248" s="132"/>
      <c r="F248" s="133"/>
      <c r="G248" s="134"/>
      <c r="H248" s="1153"/>
    </row>
    <row r="249" spans="1:8">
      <c r="A249" s="506"/>
      <c r="B249" s="508"/>
      <c r="C249" s="131"/>
      <c r="D249" s="132"/>
      <c r="E249" s="132"/>
      <c r="F249" s="133"/>
      <c r="G249" s="134"/>
      <c r="H249" s="1153"/>
    </row>
    <row r="250" spans="1:8">
      <c r="A250" s="506"/>
      <c r="B250" s="508"/>
      <c r="C250" s="131"/>
      <c r="D250" s="132"/>
      <c r="E250" s="132"/>
      <c r="F250" s="133"/>
      <c r="G250" s="134"/>
      <c r="H250" s="1153"/>
    </row>
    <row r="251" spans="1:8">
      <c r="A251" s="506"/>
      <c r="B251" s="508"/>
      <c r="C251" s="131"/>
      <c r="D251" s="132"/>
      <c r="E251" s="132"/>
      <c r="F251" s="133"/>
      <c r="G251" s="134"/>
      <c r="H251" s="1153"/>
    </row>
    <row r="252" spans="1:8">
      <c r="A252" s="506"/>
      <c r="B252" s="508"/>
      <c r="C252" s="131"/>
      <c r="D252" s="132"/>
      <c r="E252" s="132"/>
      <c r="F252" s="133"/>
      <c r="G252" s="134"/>
      <c r="H252" s="1153"/>
    </row>
    <row r="253" spans="1:8">
      <c r="A253" s="506"/>
      <c r="B253" s="508"/>
      <c r="C253" s="131"/>
      <c r="D253" s="132"/>
      <c r="E253" s="132"/>
      <c r="F253" s="133"/>
      <c r="G253" s="134"/>
      <c r="H253" s="1153"/>
    </row>
    <row r="254" spans="1:8">
      <c r="A254" s="506"/>
      <c r="B254" s="508"/>
      <c r="C254" s="131"/>
      <c r="D254" s="132"/>
      <c r="E254" s="132"/>
      <c r="F254" s="133"/>
      <c r="G254" s="134"/>
      <c r="H254" s="1153"/>
    </row>
    <row r="255" spans="1:8">
      <c r="A255" s="506"/>
      <c r="B255" s="508"/>
      <c r="C255" s="131"/>
      <c r="D255" s="132"/>
      <c r="E255" s="132"/>
      <c r="F255" s="133"/>
      <c r="G255" s="134"/>
      <c r="H255" s="1153"/>
    </row>
    <row r="256" spans="1:8">
      <c r="A256" s="506"/>
      <c r="B256" s="508"/>
      <c r="C256" s="131"/>
      <c r="D256" s="132"/>
      <c r="E256" s="132"/>
      <c r="F256" s="133"/>
      <c r="G256" s="134"/>
      <c r="H256" s="1153"/>
    </row>
    <row r="257" spans="1:8">
      <c r="A257" s="506"/>
      <c r="B257" s="508"/>
      <c r="C257" s="131"/>
      <c r="D257" s="132"/>
      <c r="E257" s="132"/>
      <c r="F257" s="133"/>
      <c r="G257" s="134"/>
      <c r="H257" s="1153"/>
    </row>
    <row r="258" spans="1:8">
      <c r="A258" s="506"/>
      <c r="B258" s="508"/>
      <c r="C258" s="131"/>
      <c r="D258" s="132"/>
      <c r="E258" s="132"/>
      <c r="F258" s="133"/>
      <c r="G258" s="134"/>
      <c r="H258" s="1153"/>
    </row>
    <row r="259" spans="1:8">
      <c r="A259" s="506"/>
      <c r="B259" s="508"/>
      <c r="C259" s="131"/>
      <c r="D259" s="132"/>
      <c r="E259" s="132"/>
      <c r="F259" s="133"/>
      <c r="G259" s="134"/>
      <c r="H259" s="1153"/>
    </row>
    <row r="260" spans="1:8">
      <c r="A260" s="506"/>
      <c r="B260" s="508"/>
      <c r="C260" s="131"/>
      <c r="D260" s="132"/>
      <c r="E260" s="132"/>
      <c r="F260" s="133"/>
      <c r="G260" s="134"/>
      <c r="H260" s="1153"/>
    </row>
    <row r="261" spans="1:8">
      <c r="A261" s="506"/>
      <c r="B261" s="508"/>
      <c r="C261" s="131"/>
      <c r="D261" s="132"/>
      <c r="E261" s="132"/>
      <c r="F261" s="133"/>
      <c r="G261" s="134"/>
      <c r="H261" s="1153"/>
    </row>
    <row r="262" spans="1:8">
      <c r="A262" s="506"/>
      <c r="B262" s="508"/>
      <c r="C262" s="131"/>
      <c r="D262" s="132"/>
      <c r="E262" s="132"/>
      <c r="F262" s="133"/>
      <c r="G262" s="134"/>
      <c r="H262" s="1153"/>
    </row>
    <row r="263" spans="1:8">
      <c r="A263" s="506"/>
      <c r="B263" s="508"/>
      <c r="C263" s="131"/>
      <c r="D263" s="132"/>
      <c r="E263" s="132"/>
      <c r="F263" s="133"/>
      <c r="G263" s="134"/>
      <c r="H263" s="1153"/>
    </row>
    <row r="264" spans="1:8">
      <c r="A264" s="506"/>
      <c r="B264" s="508"/>
      <c r="C264" s="131"/>
      <c r="D264" s="132"/>
      <c r="E264" s="132"/>
      <c r="F264" s="133"/>
      <c r="G264" s="134"/>
      <c r="H264" s="1153"/>
    </row>
    <row r="265" spans="1:8">
      <c r="A265" s="506"/>
      <c r="B265" s="508"/>
      <c r="C265" s="131"/>
      <c r="D265" s="132"/>
      <c r="E265" s="132"/>
      <c r="F265" s="133"/>
      <c r="G265" s="134"/>
      <c r="H265" s="1153"/>
    </row>
    <row r="266" spans="1:8">
      <c r="A266" s="506"/>
      <c r="B266" s="508"/>
      <c r="C266" s="131"/>
      <c r="D266" s="132"/>
      <c r="E266" s="132"/>
      <c r="F266" s="133"/>
      <c r="G266" s="134"/>
      <c r="H266" s="1153"/>
    </row>
    <row r="267" spans="1:8">
      <c r="A267" s="506"/>
      <c r="B267" s="508"/>
      <c r="C267" s="131"/>
      <c r="D267" s="132"/>
      <c r="E267" s="132"/>
      <c r="F267" s="133"/>
      <c r="G267" s="134"/>
      <c r="H267" s="1153"/>
    </row>
    <row r="268" spans="1:8">
      <c r="A268" s="506"/>
      <c r="B268" s="508"/>
      <c r="C268" s="131"/>
      <c r="D268" s="132"/>
      <c r="E268" s="132"/>
      <c r="F268" s="133"/>
      <c r="G268" s="134"/>
      <c r="H268" s="1153"/>
    </row>
    <row r="269" spans="1:8">
      <c r="A269" s="506"/>
      <c r="B269" s="508"/>
      <c r="C269" s="131"/>
      <c r="D269" s="132"/>
      <c r="E269" s="132"/>
      <c r="F269" s="133"/>
      <c r="G269" s="134"/>
      <c r="H269" s="1153"/>
    </row>
    <row r="270" spans="1:8">
      <c r="A270" s="506"/>
      <c r="B270" s="508"/>
      <c r="C270" s="131"/>
      <c r="D270" s="132"/>
      <c r="E270" s="132"/>
      <c r="F270" s="133"/>
      <c r="G270" s="134"/>
      <c r="H270" s="1153"/>
    </row>
    <row r="271" spans="1:8">
      <c r="A271" s="506"/>
      <c r="B271" s="508"/>
      <c r="C271" s="131"/>
      <c r="D271" s="132"/>
      <c r="E271" s="132"/>
      <c r="F271" s="133"/>
      <c r="G271" s="134"/>
      <c r="H271" s="1153"/>
    </row>
    <row r="272" spans="1:8">
      <c r="A272" s="506"/>
      <c r="B272" s="508"/>
      <c r="C272" s="131"/>
      <c r="D272" s="132"/>
      <c r="E272" s="132"/>
      <c r="F272" s="133"/>
      <c r="G272" s="134"/>
      <c r="H272" s="1153"/>
    </row>
    <row r="273" spans="1:8">
      <c r="A273" s="506"/>
      <c r="B273" s="508"/>
      <c r="C273" s="131"/>
      <c r="D273" s="132"/>
      <c r="E273" s="132"/>
      <c r="F273" s="133"/>
      <c r="G273" s="134"/>
      <c r="H273" s="1153"/>
    </row>
    <row r="274" spans="1:8">
      <c r="A274" s="506"/>
      <c r="B274" s="508"/>
      <c r="C274" s="131"/>
      <c r="D274" s="132"/>
      <c r="E274" s="132"/>
      <c r="F274" s="133"/>
      <c r="G274" s="134"/>
      <c r="H274" s="1153"/>
    </row>
    <row r="275" spans="1:8">
      <c r="A275" s="506"/>
      <c r="B275" s="508"/>
      <c r="C275" s="131"/>
      <c r="D275" s="132"/>
      <c r="E275" s="132"/>
      <c r="F275" s="133"/>
      <c r="G275" s="134"/>
      <c r="H275" s="1153"/>
    </row>
    <row r="276" spans="1:8">
      <c r="A276" s="506"/>
      <c r="B276" s="508"/>
      <c r="C276" s="131"/>
      <c r="D276" s="132"/>
      <c r="E276" s="132"/>
      <c r="F276" s="133"/>
      <c r="G276" s="134"/>
      <c r="H276" s="1153"/>
    </row>
    <row r="277" spans="1:8">
      <c r="A277" s="506"/>
      <c r="B277" s="508"/>
      <c r="C277" s="131"/>
      <c r="D277" s="132"/>
      <c r="E277" s="132"/>
      <c r="F277" s="133"/>
      <c r="G277" s="134"/>
      <c r="H277" s="1153"/>
    </row>
    <row r="278" spans="1:8">
      <c r="A278" s="506"/>
      <c r="B278" s="508"/>
      <c r="C278" s="131"/>
      <c r="D278" s="132"/>
      <c r="E278" s="132"/>
      <c r="F278" s="133"/>
      <c r="G278" s="134"/>
      <c r="H278" s="1153"/>
    </row>
    <row r="279" spans="1:8">
      <c r="A279" s="506"/>
      <c r="B279" s="508"/>
      <c r="C279" s="131"/>
      <c r="D279" s="132"/>
      <c r="E279" s="132"/>
      <c r="F279" s="133"/>
      <c r="G279" s="134"/>
      <c r="H279" s="1153"/>
    </row>
    <row r="280" spans="1:8">
      <c r="A280" s="506"/>
      <c r="B280" s="508"/>
      <c r="C280" s="131"/>
      <c r="D280" s="132"/>
      <c r="E280" s="132"/>
      <c r="F280" s="133"/>
      <c r="G280" s="134"/>
      <c r="H280" s="1153"/>
    </row>
    <row r="281" spans="1:8">
      <c r="A281" s="506"/>
      <c r="B281" s="508"/>
      <c r="C281" s="131"/>
      <c r="D281" s="132"/>
      <c r="E281" s="132"/>
      <c r="F281" s="133"/>
      <c r="G281" s="134"/>
      <c r="H281" s="1153"/>
    </row>
    <row r="282" spans="1:8">
      <c r="A282" s="506"/>
      <c r="B282" s="508"/>
      <c r="C282" s="131"/>
      <c r="D282" s="132"/>
      <c r="E282" s="132"/>
      <c r="F282" s="133"/>
      <c r="G282" s="134"/>
      <c r="H282" s="1153"/>
    </row>
    <row r="283" spans="1:8">
      <c r="A283" s="506"/>
      <c r="B283" s="508"/>
      <c r="C283" s="131"/>
      <c r="D283" s="132"/>
      <c r="E283" s="132"/>
      <c r="F283" s="133"/>
      <c r="G283" s="134"/>
      <c r="H283" s="1153"/>
    </row>
    <row r="284" spans="1:8">
      <c r="A284" s="506"/>
      <c r="B284" s="508"/>
      <c r="C284" s="131"/>
      <c r="D284" s="132"/>
      <c r="E284" s="132"/>
      <c r="F284" s="133"/>
      <c r="G284" s="134"/>
      <c r="H284" s="1153"/>
    </row>
    <row r="285" spans="1:8">
      <c r="A285" s="506"/>
      <c r="B285" s="508"/>
      <c r="C285" s="131"/>
      <c r="D285" s="132"/>
      <c r="E285" s="132"/>
      <c r="F285" s="133"/>
      <c r="G285" s="134"/>
      <c r="H285" s="1153"/>
    </row>
    <row r="286" spans="1:8">
      <c r="A286" s="506"/>
      <c r="B286" s="508"/>
      <c r="C286" s="131"/>
      <c r="D286" s="132"/>
      <c r="E286" s="132"/>
      <c r="F286" s="133"/>
      <c r="G286" s="134"/>
      <c r="H286" s="1153"/>
    </row>
    <row r="287" spans="1:8">
      <c r="A287" s="506"/>
      <c r="B287" s="508"/>
      <c r="C287" s="131"/>
      <c r="D287" s="132"/>
      <c r="E287" s="132"/>
      <c r="F287" s="133"/>
      <c r="G287" s="134"/>
      <c r="H287" s="1153"/>
    </row>
    <row r="288" spans="1:8">
      <c r="A288" s="506"/>
      <c r="B288" s="508"/>
      <c r="C288" s="131"/>
      <c r="D288" s="132"/>
      <c r="E288" s="132"/>
      <c r="F288" s="133"/>
      <c r="G288" s="134"/>
      <c r="H288" s="1153"/>
    </row>
    <row r="289" spans="1:8">
      <c r="A289" s="506"/>
      <c r="B289" s="508"/>
      <c r="C289" s="131"/>
      <c r="D289" s="132"/>
      <c r="E289" s="132"/>
      <c r="F289" s="133"/>
      <c r="G289" s="134"/>
      <c r="H289" s="1153"/>
    </row>
    <row r="290" spans="1:8">
      <c r="A290" s="506"/>
      <c r="B290" s="508"/>
      <c r="C290" s="131"/>
      <c r="D290" s="132"/>
      <c r="E290" s="132"/>
      <c r="F290" s="133"/>
      <c r="G290" s="134"/>
      <c r="H290" s="1153"/>
    </row>
    <row r="291" spans="1:8">
      <c r="A291" s="506"/>
      <c r="B291" s="508"/>
      <c r="C291" s="131"/>
      <c r="D291" s="132"/>
      <c r="E291" s="132"/>
      <c r="F291" s="133"/>
      <c r="G291" s="134"/>
      <c r="H291" s="1153"/>
    </row>
    <row r="292" spans="1:8">
      <c r="A292" s="506"/>
      <c r="B292" s="508"/>
      <c r="C292" s="131"/>
      <c r="D292" s="132"/>
      <c r="E292" s="132"/>
      <c r="F292" s="133"/>
      <c r="G292" s="134"/>
      <c r="H292" s="1153"/>
    </row>
    <row r="293" spans="1:8">
      <c r="A293" s="506"/>
      <c r="B293" s="508"/>
      <c r="C293" s="131"/>
      <c r="D293" s="132"/>
      <c r="E293" s="132"/>
      <c r="F293" s="133"/>
      <c r="G293" s="134"/>
      <c r="H293" s="1153"/>
    </row>
    <row r="294" spans="1:8">
      <c r="A294" s="506"/>
      <c r="B294" s="508"/>
      <c r="C294" s="131"/>
      <c r="D294" s="132"/>
      <c r="E294" s="132"/>
      <c r="F294" s="133"/>
      <c r="G294" s="134"/>
      <c r="H294" s="1153"/>
    </row>
    <row r="295" spans="1:8">
      <c r="A295" s="506"/>
      <c r="B295" s="508"/>
      <c r="C295" s="131"/>
      <c r="D295" s="132"/>
      <c r="E295" s="132"/>
      <c r="F295" s="133"/>
      <c r="G295" s="134"/>
      <c r="H295" s="1153"/>
    </row>
    <row r="296" spans="1:8">
      <c r="A296" s="506"/>
      <c r="B296" s="508"/>
      <c r="C296" s="131"/>
      <c r="D296" s="132"/>
      <c r="E296" s="132"/>
      <c r="F296" s="133"/>
      <c r="G296" s="134"/>
      <c r="H296" s="1153"/>
    </row>
    <row r="297" spans="1:8">
      <c r="A297" s="506"/>
      <c r="B297" s="508"/>
      <c r="C297" s="131"/>
      <c r="D297" s="132"/>
      <c r="E297" s="132"/>
      <c r="F297" s="133"/>
      <c r="G297" s="134"/>
      <c r="H297" s="1153"/>
    </row>
    <row r="298" spans="1:8">
      <c r="A298" s="506"/>
      <c r="B298" s="508"/>
      <c r="C298" s="131"/>
      <c r="D298" s="132"/>
      <c r="E298" s="132"/>
      <c r="F298" s="133"/>
      <c r="G298" s="134"/>
      <c r="H298" s="1153"/>
    </row>
    <row r="299" spans="1:8">
      <c r="A299" s="506"/>
      <c r="B299" s="508"/>
      <c r="C299" s="131"/>
      <c r="D299" s="132"/>
      <c r="E299" s="132"/>
      <c r="F299" s="133"/>
      <c r="G299" s="134"/>
      <c r="H299" s="1153"/>
    </row>
    <row r="300" spans="1:8">
      <c r="A300" s="506"/>
      <c r="B300" s="508"/>
      <c r="C300" s="131"/>
      <c r="D300" s="132"/>
      <c r="E300" s="132"/>
      <c r="F300" s="133"/>
      <c r="G300" s="134"/>
      <c r="H300" s="1153"/>
    </row>
    <row r="301" spans="1:8">
      <c r="A301" s="506"/>
      <c r="B301" s="508"/>
      <c r="C301" s="131"/>
      <c r="D301" s="132"/>
      <c r="E301" s="132"/>
      <c r="F301" s="133"/>
      <c r="G301" s="134"/>
      <c r="H301" s="1153"/>
    </row>
    <row r="302" spans="1:8">
      <c r="A302" s="506"/>
      <c r="B302" s="508"/>
      <c r="C302" s="131"/>
      <c r="D302" s="132"/>
      <c r="E302" s="132"/>
      <c r="F302" s="133"/>
      <c r="G302" s="134"/>
      <c r="H302" s="1153"/>
    </row>
    <row r="303" spans="1:8">
      <c r="A303" s="506"/>
      <c r="B303" s="508"/>
      <c r="C303" s="131"/>
      <c r="D303" s="132"/>
      <c r="E303" s="132"/>
      <c r="F303" s="133"/>
      <c r="G303" s="134"/>
      <c r="H303" s="1153"/>
    </row>
    <row r="304" spans="1:8">
      <c r="A304" s="506"/>
      <c r="B304" s="508"/>
      <c r="C304" s="131"/>
      <c r="D304" s="132"/>
      <c r="E304" s="132"/>
      <c r="F304" s="133"/>
      <c r="G304" s="134"/>
      <c r="H304" s="1153"/>
    </row>
    <row r="305" spans="1:8">
      <c r="A305" s="506"/>
      <c r="B305" s="508"/>
      <c r="C305" s="131"/>
      <c r="D305" s="132"/>
      <c r="E305" s="132"/>
      <c r="F305" s="133"/>
      <c r="G305" s="134"/>
      <c r="H305" s="1153"/>
    </row>
    <row r="306" spans="1:8">
      <c r="A306" s="506"/>
      <c r="B306" s="508"/>
      <c r="C306" s="131"/>
      <c r="D306" s="132"/>
      <c r="E306" s="132"/>
      <c r="F306" s="133"/>
      <c r="G306" s="134"/>
      <c r="H306" s="1153"/>
    </row>
    <row r="307" spans="1:8">
      <c r="A307" s="506"/>
      <c r="B307" s="508"/>
      <c r="C307" s="131"/>
      <c r="D307" s="132"/>
      <c r="E307" s="132"/>
      <c r="F307" s="133"/>
      <c r="G307" s="134"/>
      <c r="H307" s="1153"/>
    </row>
    <row r="308" spans="1:8">
      <c r="A308" s="506"/>
      <c r="B308" s="508"/>
      <c r="C308" s="131"/>
      <c r="D308" s="132"/>
      <c r="E308" s="132"/>
      <c r="F308" s="133"/>
      <c r="G308" s="134"/>
      <c r="H308" s="1153"/>
    </row>
    <row r="309" spans="1:8">
      <c r="A309" s="506"/>
      <c r="B309" s="508"/>
      <c r="C309" s="131"/>
      <c r="D309" s="132"/>
      <c r="E309" s="132"/>
      <c r="F309" s="133"/>
      <c r="G309" s="134"/>
      <c r="H309" s="1153"/>
    </row>
    <row r="310" spans="1:8">
      <c r="A310" s="506"/>
      <c r="B310" s="508"/>
      <c r="C310" s="131"/>
      <c r="D310" s="132"/>
      <c r="E310" s="132"/>
      <c r="F310" s="133"/>
      <c r="G310" s="134"/>
      <c r="H310" s="1153"/>
    </row>
  </sheetData>
  <sheetProtection insertRows="0" sort="0" autoFilter="0"/>
  <autoFilter ref="A3:H3" xr:uid="{29F3E9EA-8269-408D-B304-7262EFE0DE67}"/>
  <mergeCells count="1">
    <mergeCell ref="A2:H2"/>
  </mergeCells>
  <phoneticPr fontId="62" type="noConversion"/>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C286D-9D43-455F-B4F8-1AE5EE448FD6}">
  <sheetPr codeName="Sheet10"/>
  <dimension ref="B1:B7"/>
  <sheetViews>
    <sheetView topLeftCell="A5" zoomScale="80" zoomScaleNormal="80" workbookViewId="0">
      <selection activeCell="B7" sqref="B7"/>
    </sheetView>
  </sheetViews>
  <sheetFormatPr defaultRowHeight="14.5"/>
  <cols>
    <col min="1" max="1" width="3.26953125" style="92" customWidth="1"/>
    <col min="2" max="2" width="161.90625" style="92" customWidth="1"/>
    <col min="3" max="256" width="9.08984375" style="92"/>
    <col min="257" max="257" width="3.26953125" style="92" customWidth="1"/>
    <col min="258" max="258" width="111.26953125" style="92" customWidth="1"/>
    <col min="259" max="512" width="9.08984375" style="92"/>
    <col min="513" max="513" width="3.26953125" style="92" customWidth="1"/>
    <col min="514" max="514" width="111.26953125" style="92" customWidth="1"/>
    <col min="515" max="768" width="9.08984375" style="92"/>
    <col min="769" max="769" width="3.26953125" style="92" customWidth="1"/>
    <col min="770" max="770" width="111.26953125" style="92" customWidth="1"/>
    <col min="771" max="1024" width="9.08984375" style="92"/>
    <col min="1025" max="1025" width="3.26953125" style="92" customWidth="1"/>
    <col min="1026" max="1026" width="111.26953125" style="92" customWidth="1"/>
    <col min="1027" max="1280" width="9.08984375" style="92"/>
    <col min="1281" max="1281" width="3.26953125" style="92" customWidth="1"/>
    <col min="1282" max="1282" width="111.26953125" style="92" customWidth="1"/>
    <col min="1283" max="1536" width="9.08984375" style="92"/>
    <col min="1537" max="1537" width="3.26953125" style="92" customWidth="1"/>
    <col min="1538" max="1538" width="111.26953125" style="92" customWidth="1"/>
    <col min="1539" max="1792" width="9.08984375" style="92"/>
    <col min="1793" max="1793" width="3.26953125" style="92" customWidth="1"/>
    <col min="1794" max="1794" width="111.26953125" style="92" customWidth="1"/>
    <col min="1795" max="2048" width="9.08984375" style="92"/>
    <col min="2049" max="2049" width="3.26953125" style="92" customWidth="1"/>
    <col min="2050" max="2050" width="111.26953125" style="92" customWidth="1"/>
    <col min="2051" max="2304" width="9.08984375" style="92"/>
    <col min="2305" max="2305" width="3.26953125" style="92" customWidth="1"/>
    <col min="2306" max="2306" width="111.26953125" style="92" customWidth="1"/>
    <col min="2307" max="2560" width="9.08984375" style="92"/>
    <col min="2561" max="2561" width="3.26953125" style="92" customWidth="1"/>
    <col min="2562" max="2562" width="111.26953125" style="92" customWidth="1"/>
    <col min="2563" max="2816" width="9.08984375" style="92"/>
    <col min="2817" max="2817" width="3.26953125" style="92" customWidth="1"/>
    <col min="2818" max="2818" width="111.26953125" style="92" customWidth="1"/>
    <col min="2819" max="3072" width="9.08984375" style="92"/>
    <col min="3073" max="3073" width="3.26953125" style="92" customWidth="1"/>
    <col min="3074" max="3074" width="111.26953125" style="92" customWidth="1"/>
    <col min="3075" max="3328" width="9.08984375" style="92"/>
    <col min="3329" max="3329" width="3.26953125" style="92" customWidth="1"/>
    <col min="3330" max="3330" width="111.26953125" style="92" customWidth="1"/>
    <col min="3331" max="3584" width="9.08984375" style="92"/>
    <col min="3585" max="3585" width="3.26953125" style="92" customWidth="1"/>
    <col min="3586" max="3586" width="111.26953125" style="92" customWidth="1"/>
    <col min="3587" max="3840" width="9.08984375" style="92"/>
    <col min="3841" max="3841" width="3.26953125" style="92" customWidth="1"/>
    <col min="3842" max="3842" width="111.26953125" style="92" customWidth="1"/>
    <col min="3843" max="4096" width="9.08984375" style="92"/>
    <col min="4097" max="4097" width="3.26953125" style="92" customWidth="1"/>
    <col min="4098" max="4098" width="111.26953125" style="92" customWidth="1"/>
    <col min="4099" max="4352" width="9.08984375" style="92"/>
    <col min="4353" max="4353" width="3.26953125" style="92" customWidth="1"/>
    <col min="4354" max="4354" width="111.26953125" style="92" customWidth="1"/>
    <col min="4355" max="4608" width="9.08984375" style="92"/>
    <col min="4609" max="4609" width="3.26953125" style="92" customWidth="1"/>
    <col min="4610" max="4610" width="111.26953125" style="92" customWidth="1"/>
    <col min="4611" max="4864" width="9.08984375" style="92"/>
    <col min="4865" max="4865" width="3.26953125" style="92" customWidth="1"/>
    <col min="4866" max="4866" width="111.26953125" style="92" customWidth="1"/>
    <col min="4867" max="5120" width="9.08984375" style="92"/>
    <col min="5121" max="5121" width="3.26953125" style="92" customWidth="1"/>
    <col min="5122" max="5122" width="111.26953125" style="92" customWidth="1"/>
    <col min="5123" max="5376" width="9.08984375" style="92"/>
    <col min="5377" max="5377" width="3.26953125" style="92" customWidth="1"/>
    <col min="5378" max="5378" width="111.26953125" style="92" customWidth="1"/>
    <col min="5379" max="5632" width="9.08984375" style="92"/>
    <col min="5633" max="5633" width="3.26953125" style="92" customWidth="1"/>
    <col min="5634" max="5634" width="111.26953125" style="92" customWidth="1"/>
    <col min="5635" max="5888" width="9.08984375" style="92"/>
    <col min="5889" max="5889" width="3.26953125" style="92" customWidth="1"/>
    <col min="5890" max="5890" width="111.26953125" style="92" customWidth="1"/>
    <col min="5891" max="6144" width="9.08984375" style="92"/>
    <col min="6145" max="6145" width="3.26953125" style="92" customWidth="1"/>
    <col min="6146" max="6146" width="111.26953125" style="92" customWidth="1"/>
    <col min="6147" max="6400" width="9.08984375" style="92"/>
    <col min="6401" max="6401" width="3.26953125" style="92" customWidth="1"/>
    <col min="6402" max="6402" width="111.26953125" style="92" customWidth="1"/>
    <col min="6403" max="6656" width="9.08984375" style="92"/>
    <col min="6657" max="6657" width="3.26953125" style="92" customWidth="1"/>
    <col min="6658" max="6658" width="111.26953125" style="92" customWidth="1"/>
    <col min="6659" max="6912" width="9.08984375" style="92"/>
    <col min="6913" max="6913" width="3.26953125" style="92" customWidth="1"/>
    <col min="6914" max="6914" width="111.26953125" style="92" customWidth="1"/>
    <col min="6915" max="7168" width="9.08984375" style="92"/>
    <col min="7169" max="7169" width="3.26953125" style="92" customWidth="1"/>
    <col min="7170" max="7170" width="111.26953125" style="92" customWidth="1"/>
    <col min="7171" max="7424" width="9.08984375" style="92"/>
    <col min="7425" max="7425" width="3.26953125" style="92" customWidth="1"/>
    <col min="7426" max="7426" width="111.26953125" style="92" customWidth="1"/>
    <col min="7427" max="7680" width="9.08984375" style="92"/>
    <col min="7681" max="7681" width="3.26953125" style="92" customWidth="1"/>
    <col min="7682" max="7682" width="111.26953125" style="92" customWidth="1"/>
    <col min="7683" max="7936" width="9.08984375" style="92"/>
    <col min="7937" max="7937" width="3.26953125" style="92" customWidth="1"/>
    <col min="7938" max="7938" width="111.26953125" style="92" customWidth="1"/>
    <col min="7939" max="8192" width="9.08984375" style="92"/>
    <col min="8193" max="8193" width="3.26953125" style="92" customWidth="1"/>
    <col min="8194" max="8194" width="111.26953125" style="92" customWidth="1"/>
    <col min="8195" max="8448" width="9.08984375" style="92"/>
    <col min="8449" max="8449" width="3.26953125" style="92" customWidth="1"/>
    <col min="8450" max="8450" width="111.26953125" style="92" customWidth="1"/>
    <col min="8451" max="8704" width="9.08984375" style="92"/>
    <col min="8705" max="8705" width="3.26953125" style="92" customWidth="1"/>
    <col min="8706" max="8706" width="111.26953125" style="92" customWidth="1"/>
    <col min="8707" max="8960" width="9.08984375" style="92"/>
    <col min="8961" max="8961" width="3.26953125" style="92" customWidth="1"/>
    <col min="8962" max="8962" width="111.26953125" style="92" customWidth="1"/>
    <col min="8963" max="9216" width="9.08984375" style="92"/>
    <col min="9217" max="9217" width="3.26953125" style="92" customWidth="1"/>
    <col min="9218" max="9218" width="111.26953125" style="92" customWidth="1"/>
    <col min="9219" max="9472" width="9.08984375" style="92"/>
    <col min="9473" max="9473" width="3.26953125" style="92" customWidth="1"/>
    <col min="9474" max="9474" width="111.26953125" style="92" customWidth="1"/>
    <col min="9475" max="9728" width="9.08984375" style="92"/>
    <col min="9729" max="9729" width="3.26953125" style="92" customWidth="1"/>
    <col min="9730" max="9730" width="111.26953125" style="92" customWidth="1"/>
    <col min="9731" max="9984" width="9.08984375" style="92"/>
    <col min="9985" max="9985" width="3.26953125" style="92" customWidth="1"/>
    <col min="9986" max="9986" width="111.26953125" style="92" customWidth="1"/>
    <col min="9987" max="10240" width="9.08984375" style="92"/>
    <col min="10241" max="10241" width="3.26953125" style="92" customWidth="1"/>
    <col min="10242" max="10242" width="111.26953125" style="92" customWidth="1"/>
    <col min="10243" max="10496" width="9.08984375" style="92"/>
    <col min="10497" max="10497" width="3.26953125" style="92" customWidth="1"/>
    <col min="10498" max="10498" width="111.26953125" style="92" customWidth="1"/>
    <col min="10499" max="10752" width="9.08984375" style="92"/>
    <col min="10753" max="10753" width="3.26953125" style="92" customWidth="1"/>
    <col min="10754" max="10754" width="111.26953125" style="92" customWidth="1"/>
    <col min="10755" max="11008" width="9.08984375" style="92"/>
    <col min="11009" max="11009" width="3.26953125" style="92" customWidth="1"/>
    <col min="11010" max="11010" width="111.26953125" style="92" customWidth="1"/>
    <col min="11011" max="11264" width="9.08984375" style="92"/>
    <col min="11265" max="11265" width="3.26953125" style="92" customWidth="1"/>
    <col min="11266" max="11266" width="111.26953125" style="92" customWidth="1"/>
    <col min="11267" max="11520" width="9.08984375" style="92"/>
    <col min="11521" max="11521" width="3.26953125" style="92" customWidth="1"/>
    <col min="11522" max="11522" width="111.26953125" style="92" customWidth="1"/>
    <col min="11523" max="11776" width="9.08984375" style="92"/>
    <col min="11777" max="11777" width="3.26953125" style="92" customWidth="1"/>
    <col min="11778" max="11778" width="111.26953125" style="92" customWidth="1"/>
    <col min="11779" max="12032" width="9.08984375" style="92"/>
    <col min="12033" max="12033" width="3.26953125" style="92" customWidth="1"/>
    <col min="12034" max="12034" width="111.26953125" style="92" customWidth="1"/>
    <col min="12035" max="12288" width="9.08984375" style="92"/>
    <col min="12289" max="12289" width="3.26953125" style="92" customWidth="1"/>
    <col min="12290" max="12290" width="111.26953125" style="92" customWidth="1"/>
    <col min="12291" max="12544" width="9.08984375" style="92"/>
    <col min="12545" max="12545" width="3.26953125" style="92" customWidth="1"/>
    <col min="12546" max="12546" width="111.26953125" style="92" customWidth="1"/>
    <col min="12547" max="12800" width="9.08984375" style="92"/>
    <col min="12801" max="12801" width="3.26953125" style="92" customWidth="1"/>
    <col min="12802" max="12802" width="111.26953125" style="92" customWidth="1"/>
    <col min="12803" max="13056" width="9.08984375" style="92"/>
    <col min="13057" max="13057" width="3.26953125" style="92" customWidth="1"/>
    <col min="13058" max="13058" width="111.26953125" style="92" customWidth="1"/>
    <col min="13059" max="13312" width="9.08984375" style="92"/>
    <col min="13313" max="13313" width="3.26953125" style="92" customWidth="1"/>
    <col min="13314" max="13314" width="111.26953125" style="92" customWidth="1"/>
    <col min="13315" max="13568" width="9.08984375" style="92"/>
    <col min="13569" max="13569" width="3.26953125" style="92" customWidth="1"/>
    <col min="13570" max="13570" width="111.26953125" style="92" customWidth="1"/>
    <col min="13571" max="13824" width="9.08984375" style="92"/>
    <col min="13825" max="13825" width="3.26953125" style="92" customWidth="1"/>
    <col min="13826" max="13826" width="111.26953125" style="92" customWidth="1"/>
    <col min="13827" max="14080" width="9.08984375" style="92"/>
    <col min="14081" max="14081" width="3.26953125" style="92" customWidth="1"/>
    <col min="14082" max="14082" width="111.26953125" style="92" customWidth="1"/>
    <col min="14083" max="14336" width="9.08984375" style="92"/>
    <col min="14337" max="14337" width="3.26953125" style="92" customWidth="1"/>
    <col min="14338" max="14338" width="111.26953125" style="92" customWidth="1"/>
    <col min="14339" max="14592" width="9.08984375" style="92"/>
    <col min="14593" max="14593" width="3.26953125" style="92" customWidth="1"/>
    <col min="14594" max="14594" width="111.26953125" style="92" customWidth="1"/>
    <col min="14595" max="14848" width="9.08984375" style="92"/>
    <col min="14849" max="14849" width="3.26953125" style="92" customWidth="1"/>
    <col min="14850" max="14850" width="111.26953125" style="92" customWidth="1"/>
    <col min="14851" max="15104" width="9.08984375" style="92"/>
    <col min="15105" max="15105" width="3.26953125" style="92" customWidth="1"/>
    <col min="15106" max="15106" width="111.26953125" style="92" customWidth="1"/>
    <col min="15107" max="15360" width="9.08984375" style="92"/>
    <col min="15361" max="15361" width="3.26953125" style="92" customWidth="1"/>
    <col min="15362" max="15362" width="111.26953125" style="92" customWidth="1"/>
    <col min="15363" max="15616" width="9.08984375" style="92"/>
    <col min="15617" max="15617" width="3.26953125" style="92" customWidth="1"/>
    <col min="15618" max="15618" width="111.26953125" style="92" customWidth="1"/>
    <col min="15619" max="15872" width="9.08984375" style="92"/>
    <col min="15873" max="15873" width="3.26953125" style="92" customWidth="1"/>
    <col min="15874" max="15874" width="111.26953125" style="92" customWidth="1"/>
    <col min="15875" max="16128" width="9.08984375" style="92"/>
    <col min="16129" max="16129" width="3.26953125" style="92" customWidth="1"/>
    <col min="16130" max="16130" width="111.26953125" style="92" customWidth="1"/>
    <col min="16131" max="16384" width="9.08984375" style="92"/>
  </cols>
  <sheetData>
    <row r="1" spans="2:2" ht="15" thickBot="1"/>
    <row r="2" spans="2:2" ht="25.5" customHeight="1">
      <c r="B2" s="93" t="s">
        <v>29</v>
      </c>
    </row>
    <row r="3" spans="2:2" ht="164.5" customHeight="1">
      <c r="B3" s="1093" t="s">
        <v>30</v>
      </c>
    </row>
    <row r="4" spans="2:2" ht="267.75" customHeight="1">
      <c r="B4" s="1094" t="s">
        <v>31</v>
      </c>
    </row>
    <row r="5" spans="2:2" ht="232.5" customHeight="1" thickBot="1">
      <c r="B5" s="284" t="s">
        <v>32</v>
      </c>
    </row>
    <row r="6" spans="2:2" ht="65.150000000000006" customHeight="1" thickBot="1">
      <c r="B6" s="285" t="s">
        <v>33</v>
      </c>
    </row>
    <row r="7" spans="2:2" ht="121.5" customHeight="1" thickBot="1">
      <c r="B7" s="1095" t="s">
        <v>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CCD4-F582-4A13-ABD3-93449197B189}">
  <sheetPr codeName="Sheet8">
    <tabColor rgb="FF0070C0"/>
  </sheetPr>
  <dimension ref="B1:U18"/>
  <sheetViews>
    <sheetView topLeftCell="D1" zoomScale="158" zoomScaleNormal="158" workbookViewId="0">
      <selection activeCell="H12" sqref="H12"/>
    </sheetView>
  </sheetViews>
  <sheetFormatPr defaultRowHeight="14.5"/>
  <cols>
    <col min="1" max="1" width="2.08984375" style="92" customWidth="1"/>
    <col min="2" max="2" width="5.36328125" style="92" customWidth="1"/>
    <col min="3" max="3" width="32" style="92" customWidth="1"/>
    <col min="4" max="4" width="8" style="92" customWidth="1"/>
    <col min="5" max="6" width="7.26953125" style="92" customWidth="1"/>
    <col min="7" max="7" width="6.90625" style="92" customWidth="1"/>
    <col min="8" max="8" width="5.26953125" style="92" customWidth="1"/>
    <col min="9" max="9" width="6.90625" style="92" customWidth="1"/>
    <col min="10" max="10" width="9.08984375" style="92"/>
    <col min="11" max="11" width="17.08984375" style="92" customWidth="1"/>
    <col min="12" max="12" width="27" style="92" customWidth="1"/>
    <col min="13" max="15" width="9.08984375" style="92"/>
    <col min="16" max="16" width="24.26953125" style="92" customWidth="1"/>
    <col min="17" max="17" width="15.36328125" style="92" bestFit="1" customWidth="1"/>
    <col min="18" max="19" width="9.08984375" style="92"/>
    <col min="20" max="20" width="13.08984375" style="92" bestFit="1" customWidth="1"/>
    <col min="21" max="258" width="9.08984375" style="92"/>
    <col min="259" max="259" width="5.36328125" style="92" customWidth="1"/>
    <col min="260" max="260" width="28" style="92" customWidth="1"/>
    <col min="261" max="261" width="8" style="92" customWidth="1"/>
    <col min="262" max="262" width="7.26953125" style="92" customWidth="1"/>
    <col min="263" max="263" width="6.90625" style="92" customWidth="1"/>
    <col min="264" max="264" width="7.36328125" style="92" customWidth="1"/>
    <col min="265" max="266" width="9.08984375" style="92"/>
    <col min="267" max="267" width="17.08984375" style="92" customWidth="1"/>
    <col min="268" max="268" width="30.26953125" style="92" customWidth="1"/>
    <col min="269" max="271" width="9.08984375" style="92"/>
    <col min="272" max="272" width="24.26953125" style="92" customWidth="1"/>
    <col min="273" max="273" width="15.36328125" style="92" bestFit="1" customWidth="1"/>
    <col min="274" max="275" width="9.08984375" style="92"/>
    <col min="276" max="276" width="13.08984375" style="92" bestFit="1" customWidth="1"/>
    <col min="277" max="514" width="9.08984375" style="92"/>
    <col min="515" max="515" width="5.36328125" style="92" customWidth="1"/>
    <col min="516" max="516" width="28" style="92" customWidth="1"/>
    <col min="517" max="517" width="8" style="92" customWidth="1"/>
    <col min="518" max="518" width="7.26953125" style="92" customWidth="1"/>
    <col min="519" max="519" width="6.90625" style="92" customWidth="1"/>
    <col min="520" max="520" width="7.36328125" style="92" customWidth="1"/>
    <col min="521" max="522" width="9.08984375" style="92"/>
    <col min="523" max="523" width="17.08984375" style="92" customWidth="1"/>
    <col min="524" max="524" width="30.26953125" style="92" customWidth="1"/>
    <col min="525" max="527" width="9.08984375" style="92"/>
    <col min="528" max="528" width="24.26953125" style="92" customWidth="1"/>
    <col min="529" max="529" width="15.36328125" style="92" bestFit="1" customWidth="1"/>
    <col min="530" max="531" width="9.08984375" style="92"/>
    <col min="532" max="532" width="13.08984375" style="92" bestFit="1" customWidth="1"/>
    <col min="533" max="770" width="9.08984375" style="92"/>
    <col min="771" max="771" width="5.36328125" style="92" customWidth="1"/>
    <col min="772" max="772" width="28" style="92" customWidth="1"/>
    <col min="773" max="773" width="8" style="92" customWidth="1"/>
    <col min="774" max="774" width="7.26953125" style="92" customWidth="1"/>
    <col min="775" max="775" width="6.90625" style="92" customWidth="1"/>
    <col min="776" max="776" width="7.36328125" style="92" customWidth="1"/>
    <col min="777" max="778" width="9.08984375" style="92"/>
    <col min="779" max="779" width="17.08984375" style="92" customWidth="1"/>
    <col min="780" max="780" width="30.26953125" style="92" customWidth="1"/>
    <col min="781" max="783" width="9.08984375" style="92"/>
    <col min="784" max="784" width="24.26953125" style="92" customWidth="1"/>
    <col min="785" max="785" width="15.36328125" style="92" bestFit="1" customWidth="1"/>
    <col min="786" max="787" width="9.08984375" style="92"/>
    <col min="788" max="788" width="13.08984375" style="92" bestFit="1" customWidth="1"/>
    <col min="789" max="1026" width="9.08984375" style="92"/>
    <col min="1027" max="1027" width="5.36328125" style="92" customWidth="1"/>
    <col min="1028" max="1028" width="28" style="92" customWidth="1"/>
    <col min="1029" max="1029" width="8" style="92" customWidth="1"/>
    <col min="1030" max="1030" width="7.26953125" style="92" customWidth="1"/>
    <col min="1031" max="1031" width="6.90625" style="92" customWidth="1"/>
    <col min="1032" max="1032" width="7.36328125" style="92" customWidth="1"/>
    <col min="1033" max="1034" width="9.08984375" style="92"/>
    <col min="1035" max="1035" width="17.08984375" style="92" customWidth="1"/>
    <col min="1036" max="1036" width="30.26953125" style="92" customWidth="1"/>
    <col min="1037" max="1039" width="9.08984375" style="92"/>
    <col min="1040" max="1040" width="24.26953125" style="92" customWidth="1"/>
    <col min="1041" max="1041" width="15.36328125" style="92" bestFit="1" customWidth="1"/>
    <col min="1042" max="1043" width="9.08984375" style="92"/>
    <col min="1044" max="1044" width="13.08984375" style="92" bestFit="1" customWidth="1"/>
    <col min="1045" max="1282" width="9.08984375" style="92"/>
    <col min="1283" max="1283" width="5.36328125" style="92" customWidth="1"/>
    <col min="1284" max="1284" width="28" style="92" customWidth="1"/>
    <col min="1285" max="1285" width="8" style="92" customWidth="1"/>
    <col min="1286" max="1286" width="7.26953125" style="92" customWidth="1"/>
    <col min="1287" max="1287" width="6.90625" style="92" customWidth="1"/>
    <col min="1288" max="1288" width="7.36328125" style="92" customWidth="1"/>
    <col min="1289" max="1290" width="9.08984375" style="92"/>
    <col min="1291" max="1291" width="17.08984375" style="92" customWidth="1"/>
    <col min="1292" max="1292" width="30.26953125" style="92" customWidth="1"/>
    <col min="1293" max="1295" width="9.08984375" style="92"/>
    <col min="1296" max="1296" width="24.26953125" style="92" customWidth="1"/>
    <col min="1297" max="1297" width="15.36328125" style="92" bestFit="1" customWidth="1"/>
    <col min="1298" max="1299" width="9.08984375" style="92"/>
    <col min="1300" max="1300" width="13.08984375" style="92" bestFit="1" customWidth="1"/>
    <col min="1301" max="1538" width="9.08984375" style="92"/>
    <col min="1539" max="1539" width="5.36328125" style="92" customWidth="1"/>
    <col min="1540" max="1540" width="28" style="92" customWidth="1"/>
    <col min="1541" max="1541" width="8" style="92" customWidth="1"/>
    <col min="1542" max="1542" width="7.26953125" style="92" customWidth="1"/>
    <col min="1543" max="1543" width="6.90625" style="92" customWidth="1"/>
    <col min="1544" max="1544" width="7.36328125" style="92" customWidth="1"/>
    <col min="1545" max="1546" width="9.08984375" style="92"/>
    <col min="1547" max="1547" width="17.08984375" style="92" customWidth="1"/>
    <col min="1548" max="1548" width="30.26953125" style="92" customWidth="1"/>
    <col min="1549" max="1551" width="9.08984375" style="92"/>
    <col min="1552" max="1552" width="24.26953125" style="92" customWidth="1"/>
    <col min="1553" max="1553" width="15.36328125" style="92" bestFit="1" customWidth="1"/>
    <col min="1554" max="1555" width="9.08984375" style="92"/>
    <col min="1556" max="1556" width="13.08984375" style="92" bestFit="1" customWidth="1"/>
    <col min="1557" max="1794" width="9.08984375" style="92"/>
    <col min="1795" max="1795" width="5.36328125" style="92" customWidth="1"/>
    <col min="1796" max="1796" width="28" style="92" customWidth="1"/>
    <col min="1797" max="1797" width="8" style="92" customWidth="1"/>
    <col min="1798" max="1798" width="7.26953125" style="92" customWidth="1"/>
    <col min="1799" max="1799" width="6.90625" style="92" customWidth="1"/>
    <col min="1800" max="1800" width="7.36328125" style="92" customWidth="1"/>
    <col min="1801" max="1802" width="9.08984375" style="92"/>
    <col min="1803" max="1803" width="17.08984375" style="92" customWidth="1"/>
    <col min="1804" max="1804" width="30.26953125" style="92" customWidth="1"/>
    <col min="1805" max="1807" width="9.08984375" style="92"/>
    <col min="1808" max="1808" width="24.26953125" style="92" customWidth="1"/>
    <col min="1809" max="1809" width="15.36328125" style="92" bestFit="1" customWidth="1"/>
    <col min="1810" max="1811" width="9.08984375" style="92"/>
    <col min="1812" max="1812" width="13.08984375" style="92" bestFit="1" customWidth="1"/>
    <col min="1813" max="2050" width="9.08984375" style="92"/>
    <col min="2051" max="2051" width="5.36328125" style="92" customWidth="1"/>
    <col min="2052" max="2052" width="28" style="92" customWidth="1"/>
    <col min="2053" max="2053" width="8" style="92" customWidth="1"/>
    <col min="2054" max="2054" width="7.26953125" style="92" customWidth="1"/>
    <col min="2055" max="2055" width="6.90625" style="92" customWidth="1"/>
    <col min="2056" max="2056" width="7.36328125" style="92" customWidth="1"/>
    <col min="2057" max="2058" width="9.08984375" style="92"/>
    <col min="2059" max="2059" width="17.08984375" style="92" customWidth="1"/>
    <col min="2060" max="2060" width="30.26953125" style="92" customWidth="1"/>
    <col min="2061" max="2063" width="9.08984375" style="92"/>
    <col min="2064" max="2064" width="24.26953125" style="92" customWidth="1"/>
    <col min="2065" max="2065" width="15.36328125" style="92" bestFit="1" customWidth="1"/>
    <col min="2066" max="2067" width="9.08984375" style="92"/>
    <col min="2068" max="2068" width="13.08984375" style="92" bestFit="1" customWidth="1"/>
    <col min="2069" max="2306" width="9.08984375" style="92"/>
    <col min="2307" max="2307" width="5.36328125" style="92" customWidth="1"/>
    <col min="2308" max="2308" width="28" style="92" customWidth="1"/>
    <col min="2309" max="2309" width="8" style="92" customWidth="1"/>
    <col min="2310" max="2310" width="7.26953125" style="92" customWidth="1"/>
    <col min="2311" max="2311" width="6.90625" style="92" customWidth="1"/>
    <col min="2312" max="2312" width="7.36328125" style="92" customWidth="1"/>
    <col min="2313" max="2314" width="9.08984375" style="92"/>
    <col min="2315" max="2315" width="17.08984375" style="92" customWidth="1"/>
    <col min="2316" max="2316" width="30.26953125" style="92" customWidth="1"/>
    <col min="2317" max="2319" width="9.08984375" style="92"/>
    <col min="2320" max="2320" width="24.26953125" style="92" customWidth="1"/>
    <col min="2321" max="2321" width="15.36328125" style="92" bestFit="1" customWidth="1"/>
    <col min="2322" max="2323" width="9.08984375" style="92"/>
    <col min="2324" max="2324" width="13.08984375" style="92" bestFit="1" customWidth="1"/>
    <col min="2325" max="2562" width="9.08984375" style="92"/>
    <col min="2563" max="2563" width="5.36328125" style="92" customWidth="1"/>
    <col min="2564" max="2564" width="28" style="92" customWidth="1"/>
    <col min="2565" max="2565" width="8" style="92" customWidth="1"/>
    <col min="2566" max="2566" width="7.26953125" style="92" customWidth="1"/>
    <col min="2567" max="2567" width="6.90625" style="92" customWidth="1"/>
    <col min="2568" max="2568" width="7.36328125" style="92" customWidth="1"/>
    <col min="2569" max="2570" width="9.08984375" style="92"/>
    <col min="2571" max="2571" width="17.08984375" style="92" customWidth="1"/>
    <col min="2572" max="2572" width="30.26953125" style="92" customWidth="1"/>
    <col min="2573" max="2575" width="9.08984375" style="92"/>
    <col min="2576" max="2576" width="24.26953125" style="92" customWidth="1"/>
    <col min="2577" max="2577" width="15.36328125" style="92" bestFit="1" customWidth="1"/>
    <col min="2578" max="2579" width="9.08984375" style="92"/>
    <col min="2580" max="2580" width="13.08984375" style="92" bestFit="1" customWidth="1"/>
    <col min="2581" max="2818" width="9.08984375" style="92"/>
    <col min="2819" max="2819" width="5.36328125" style="92" customWidth="1"/>
    <col min="2820" max="2820" width="28" style="92" customWidth="1"/>
    <col min="2821" max="2821" width="8" style="92" customWidth="1"/>
    <col min="2822" max="2822" width="7.26953125" style="92" customWidth="1"/>
    <col min="2823" max="2823" width="6.90625" style="92" customWidth="1"/>
    <col min="2824" max="2824" width="7.36328125" style="92" customWidth="1"/>
    <col min="2825" max="2826" width="9.08984375" style="92"/>
    <col min="2827" max="2827" width="17.08984375" style="92" customWidth="1"/>
    <col min="2828" max="2828" width="30.26953125" style="92" customWidth="1"/>
    <col min="2829" max="2831" width="9.08984375" style="92"/>
    <col min="2832" max="2832" width="24.26953125" style="92" customWidth="1"/>
    <col min="2833" max="2833" width="15.36328125" style="92" bestFit="1" customWidth="1"/>
    <col min="2834" max="2835" width="9.08984375" style="92"/>
    <col min="2836" max="2836" width="13.08984375" style="92" bestFit="1" customWidth="1"/>
    <col min="2837" max="3074" width="9.08984375" style="92"/>
    <col min="3075" max="3075" width="5.36328125" style="92" customWidth="1"/>
    <col min="3076" max="3076" width="28" style="92" customWidth="1"/>
    <col min="3077" max="3077" width="8" style="92" customWidth="1"/>
    <col min="3078" max="3078" width="7.26953125" style="92" customWidth="1"/>
    <col min="3079" max="3079" width="6.90625" style="92" customWidth="1"/>
    <col min="3080" max="3080" width="7.36328125" style="92" customWidth="1"/>
    <col min="3081" max="3082" width="9.08984375" style="92"/>
    <col min="3083" max="3083" width="17.08984375" style="92" customWidth="1"/>
    <col min="3084" max="3084" width="30.26953125" style="92" customWidth="1"/>
    <col min="3085" max="3087" width="9.08984375" style="92"/>
    <col min="3088" max="3088" width="24.26953125" style="92" customWidth="1"/>
    <col min="3089" max="3089" width="15.36328125" style="92" bestFit="1" customWidth="1"/>
    <col min="3090" max="3091" width="9.08984375" style="92"/>
    <col min="3092" max="3092" width="13.08984375" style="92" bestFit="1" customWidth="1"/>
    <col min="3093" max="3330" width="9.08984375" style="92"/>
    <col min="3331" max="3331" width="5.36328125" style="92" customWidth="1"/>
    <col min="3332" max="3332" width="28" style="92" customWidth="1"/>
    <col min="3333" max="3333" width="8" style="92" customWidth="1"/>
    <col min="3334" max="3334" width="7.26953125" style="92" customWidth="1"/>
    <col min="3335" max="3335" width="6.90625" style="92" customWidth="1"/>
    <col min="3336" max="3336" width="7.36328125" style="92" customWidth="1"/>
    <col min="3337" max="3338" width="9.08984375" style="92"/>
    <col min="3339" max="3339" width="17.08984375" style="92" customWidth="1"/>
    <col min="3340" max="3340" width="30.26953125" style="92" customWidth="1"/>
    <col min="3341" max="3343" width="9.08984375" style="92"/>
    <col min="3344" max="3344" width="24.26953125" style="92" customWidth="1"/>
    <col min="3345" max="3345" width="15.36328125" style="92" bestFit="1" customWidth="1"/>
    <col min="3346" max="3347" width="9.08984375" style="92"/>
    <col min="3348" max="3348" width="13.08984375" style="92" bestFit="1" customWidth="1"/>
    <col min="3349" max="3586" width="9.08984375" style="92"/>
    <col min="3587" max="3587" width="5.36328125" style="92" customWidth="1"/>
    <col min="3588" max="3588" width="28" style="92" customWidth="1"/>
    <col min="3589" max="3589" width="8" style="92" customWidth="1"/>
    <col min="3590" max="3590" width="7.26953125" style="92" customWidth="1"/>
    <col min="3591" max="3591" width="6.90625" style="92" customWidth="1"/>
    <col min="3592" max="3592" width="7.36328125" style="92" customWidth="1"/>
    <col min="3593" max="3594" width="9.08984375" style="92"/>
    <col min="3595" max="3595" width="17.08984375" style="92" customWidth="1"/>
    <col min="3596" max="3596" width="30.26953125" style="92" customWidth="1"/>
    <col min="3597" max="3599" width="9.08984375" style="92"/>
    <col min="3600" max="3600" width="24.26953125" style="92" customWidth="1"/>
    <col min="3601" max="3601" width="15.36328125" style="92" bestFit="1" customWidth="1"/>
    <col min="3602" max="3603" width="9.08984375" style="92"/>
    <col min="3604" max="3604" width="13.08984375" style="92" bestFit="1" customWidth="1"/>
    <col min="3605" max="3842" width="9.08984375" style="92"/>
    <col min="3843" max="3843" width="5.36328125" style="92" customWidth="1"/>
    <col min="3844" max="3844" width="28" style="92" customWidth="1"/>
    <col min="3845" max="3845" width="8" style="92" customWidth="1"/>
    <col min="3846" max="3846" width="7.26953125" style="92" customWidth="1"/>
    <col min="3847" max="3847" width="6.90625" style="92" customWidth="1"/>
    <col min="3848" max="3848" width="7.36328125" style="92" customWidth="1"/>
    <col min="3849" max="3850" width="9.08984375" style="92"/>
    <col min="3851" max="3851" width="17.08984375" style="92" customWidth="1"/>
    <col min="3852" max="3852" width="30.26953125" style="92" customWidth="1"/>
    <col min="3853" max="3855" width="9.08984375" style="92"/>
    <col min="3856" max="3856" width="24.26953125" style="92" customWidth="1"/>
    <col min="3857" max="3857" width="15.36328125" style="92" bestFit="1" customWidth="1"/>
    <col min="3858" max="3859" width="9.08984375" style="92"/>
    <col min="3860" max="3860" width="13.08984375" style="92" bestFit="1" customWidth="1"/>
    <col min="3861" max="4098" width="9.08984375" style="92"/>
    <col min="4099" max="4099" width="5.36328125" style="92" customWidth="1"/>
    <col min="4100" max="4100" width="28" style="92" customWidth="1"/>
    <col min="4101" max="4101" width="8" style="92" customWidth="1"/>
    <col min="4102" max="4102" width="7.26953125" style="92" customWidth="1"/>
    <col min="4103" max="4103" width="6.90625" style="92" customWidth="1"/>
    <col min="4104" max="4104" width="7.36328125" style="92" customWidth="1"/>
    <col min="4105" max="4106" width="9.08984375" style="92"/>
    <col min="4107" max="4107" width="17.08984375" style="92" customWidth="1"/>
    <col min="4108" max="4108" width="30.26953125" style="92" customWidth="1"/>
    <col min="4109" max="4111" width="9.08984375" style="92"/>
    <col min="4112" max="4112" width="24.26953125" style="92" customWidth="1"/>
    <col min="4113" max="4113" width="15.36328125" style="92" bestFit="1" customWidth="1"/>
    <col min="4114" max="4115" width="9.08984375" style="92"/>
    <col min="4116" max="4116" width="13.08984375" style="92" bestFit="1" customWidth="1"/>
    <col min="4117" max="4354" width="9.08984375" style="92"/>
    <col min="4355" max="4355" width="5.36328125" style="92" customWidth="1"/>
    <col min="4356" max="4356" width="28" style="92" customWidth="1"/>
    <col min="4357" max="4357" width="8" style="92" customWidth="1"/>
    <col min="4358" max="4358" width="7.26953125" style="92" customWidth="1"/>
    <col min="4359" max="4359" width="6.90625" style="92" customWidth="1"/>
    <col min="4360" max="4360" width="7.36328125" style="92" customWidth="1"/>
    <col min="4361" max="4362" width="9.08984375" style="92"/>
    <col min="4363" max="4363" width="17.08984375" style="92" customWidth="1"/>
    <col min="4364" max="4364" width="30.26953125" style="92" customWidth="1"/>
    <col min="4365" max="4367" width="9.08984375" style="92"/>
    <col min="4368" max="4368" width="24.26953125" style="92" customWidth="1"/>
    <col min="4369" max="4369" width="15.36328125" style="92" bestFit="1" customWidth="1"/>
    <col min="4370" max="4371" width="9.08984375" style="92"/>
    <col min="4372" max="4372" width="13.08984375" style="92" bestFit="1" customWidth="1"/>
    <col min="4373" max="4610" width="9.08984375" style="92"/>
    <col min="4611" max="4611" width="5.36328125" style="92" customWidth="1"/>
    <col min="4612" max="4612" width="28" style="92" customWidth="1"/>
    <col min="4613" max="4613" width="8" style="92" customWidth="1"/>
    <col min="4614" max="4614" width="7.26953125" style="92" customWidth="1"/>
    <col min="4615" max="4615" width="6.90625" style="92" customWidth="1"/>
    <col min="4616" max="4616" width="7.36328125" style="92" customWidth="1"/>
    <col min="4617" max="4618" width="9.08984375" style="92"/>
    <col min="4619" max="4619" width="17.08984375" style="92" customWidth="1"/>
    <col min="4620" max="4620" width="30.26953125" style="92" customWidth="1"/>
    <col min="4621" max="4623" width="9.08984375" style="92"/>
    <col min="4624" max="4624" width="24.26953125" style="92" customWidth="1"/>
    <col min="4625" max="4625" width="15.36328125" style="92" bestFit="1" customWidth="1"/>
    <col min="4626" max="4627" width="9.08984375" style="92"/>
    <col min="4628" max="4628" width="13.08984375" style="92" bestFit="1" customWidth="1"/>
    <col min="4629" max="4866" width="9.08984375" style="92"/>
    <col min="4867" max="4867" width="5.36328125" style="92" customWidth="1"/>
    <col min="4868" max="4868" width="28" style="92" customWidth="1"/>
    <col min="4869" max="4869" width="8" style="92" customWidth="1"/>
    <col min="4870" max="4870" width="7.26953125" style="92" customWidth="1"/>
    <col min="4871" max="4871" width="6.90625" style="92" customWidth="1"/>
    <col min="4872" max="4872" width="7.36328125" style="92" customWidth="1"/>
    <col min="4873" max="4874" width="9.08984375" style="92"/>
    <col min="4875" max="4875" width="17.08984375" style="92" customWidth="1"/>
    <col min="4876" max="4876" width="30.26953125" style="92" customWidth="1"/>
    <col min="4877" max="4879" width="9.08984375" style="92"/>
    <col min="4880" max="4880" width="24.26953125" style="92" customWidth="1"/>
    <col min="4881" max="4881" width="15.36328125" style="92" bestFit="1" customWidth="1"/>
    <col min="4882" max="4883" width="9.08984375" style="92"/>
    <col min="4884" max="4884" width="13.08984375" style="92" bestFit="1" customWidth="1"/>
    <col min="4885" max="5122" width="9.08984375" style="92"/>
    <col min="5123" max="5123" width="5.36328125" style="92" customWidth="1"/>
    <col min="5124" max="5124" width="28" style="92" customWidth="1"/>
    <col min="5125" max="5125" width="8" style="92" customWidth="1"/>
    <col min="5126" max="5126" width="7.26953125" style="92" customWidth="1"/>
    <col min="5127" max="5127" width="6.90625" style="92" customWidth="1"/>
    <col min="5128" max="5128" width="7.36328125" style="92" customWidth="1"/>
    <col min="5129" max="5130" width="9.08984375" style="92"/>
    <col min="5131" max="5131" width="17.08984375" style="92" customWidth="1"/>
    <col min="5132" max="5132" width="30.26953125" style="92" customWidth="1"/>
    <col min="5133" max="5135" width="9.08984375" style="92"/>
    <col min="5136" max="5136" width="24.26953125" style="92" customWidth="1"/>
    <col min="5137" max="5137" width="15.36328125" style="92" bestFit="1" customWidth="1"/>
    <col min="5138" max="5139" width="9.08984375" style="92"/>
    <col min="5140" max="5140" width="13.08984375" style="92" bestFit="1" customWidth="1"/>
    <col min="5141" max="5378" width="9.08984375" style="92"/>
    <col min="5379" max="5379" width="5.36328125" style="92" customWidth="1"/>
    <col min="5380" max="5380" width="28" style="92" customWidth="1"/>
    <col min="5381" max="5381" width="8" style="92" customWidth="1"/>
    <col min="5382" max="5382" width="7.26953125" style="92" customWidth="1"/>
    <col min="5383" max="5383" width="6.90625" style="92" customWidth="1"/>
    <col min="5384" max="5384" width="7.36328125" style="92" customWidth="1"/>
    <col min="5385" max="5386" width="9.08984375" style="92"/>
    <col min="5387" max="5387" width="17.08984375" style="92" customWidth="1"/>
    <col min="5388" max="5388" width="30.26953125" style="92" customWidth="1"/>
    <col min="5389" max="5391" width="9.08984375" style="92"/>
    <col min="5392" max="5392" width="24.26953125" style="92" customWidth="1"/>
    <col min="5393" max="5393" width="15.36328125" style="92" bestFit="1" customWidth="1"/>
    <col min="5394" max="5395" width="9.08984375" style="92"/>
    <col min="5396" max="5396" width="13.08984375" style="92" bestFit="1" customWidth="1"/>
    <col min="5397" max="5634" width="9.08984375" style="92"/>
    <col min="5635" max="5635" width="5.36328125" style="92" customWidth="1"/>
    <col min="5636" max="5636" width="28" style="92" customWidth="1"/>
    <col min="5637" max="5637" width="8" style="92" customWidth="1"/>
    <col min="5638" max="5638" width="7.26953125" style="92" customWidth="1"/>
    <col min="5639" max="5639" width="6.90625" style="92" customWidth="1"/>
    <col min="5640" max="5640" width="7.36328125" style="92" customWidth="1"/>
    <col min="5641" max="5642" width="9.08984375" style="92"/>
    <col min="5643" max="5643" width="17.08984375" style="92" customWidth="1"/>
    <col min="5644" max="5644" width="30.26953125" style="92" customWidth="1"/>
    <col min="5645" max="5647" width="9.08984375" style="92"/>
    <col min="5648" max="5648" width="24.26953125" style="92" customWidth="1"/>
    <col min="5649" max="5649" width="15.36328125" style="92" bestFit="1" customWidth="1"/>
    <col min="5650" max="5651" width="9.08984375" style="92"/>
    <col min="5652" max="5652" width="13.08984375" style="92" bestFit="1" customWidth="1"/>
    <col min="5653" max="5890" width="9.08984375" style="92"/>
    <col min="5891" max="5891" width="5.36328125" style="92" customWidth="1"/>
    <col min="5892" max="5892" width="28" style="92" customWidth="1"/>
    <col min="5893" max="5893" width="8" style="92" customWidth="1"/>
    <col min="5894" max="5894" width="7.26953125" style="92" customWidth="1"/>
    <col min="5895" max="5895" width="6.90625" style="92" customWidth="1"/>
    <col min="5896" max="5896" width="7.36328125" style="92" customWidth="1"/>
    <col min="5897" max="5898" width="9.08984375" style="92"/>
    <col min="5899" max="5899" width="17.08984375" style="92" customWidth="1"/>
    <col min="5900" max="5900" width="30.26953125" style="92" customWidth="1"/>
    <col min="5901" max="5903" width="9.08984375" style="92"/>
    <col min="5904" max="5904" width="24.26953125" style="92" customWidth="1"/>
    <col min="5905" max="5905" width="15.36328125" style="92" bestFit="1" customWidth="1"/>
    <col min="5906" max="5907" width="9.08984375" style="92"/>
    <col min="5908" max="5908" width="13.08984375" style="92" bestFit="1" customWidth="1"/>
    <col min="5909" max="6146" width="9.08984375" style="92"/>
    <col min="6147" max="6147" width="5.36328125" style="92" customWidth="1"/>
    <col min="6148" max="6148" width="28" style="92" customWidth="1"/>
    <col min="6149" max="6149" width="8" style="92" customWidth="1"/>
    <col min="6150" max="6150" width="7.26953125" style="92" customWidth="1"/>
    <col min="6151" max="6151" width="6.90625" style="92" customWidth="1"/>
    <col min="6152" max="6152" width="7.36328125" style="92" customWidth="1"/>
    <col min="6153" max="6154" width="9.08984375" style="92"/>
    <col min="6155" max="6155" width="17.08984375" style="92" customWidth="1"/>
    <col min="6156" max="6156" width="30.26953125" style="92" customWidth="1"/>
    <col min="6157" max="6159" width="9.08984375" style="92"/>
    <col min="6160" max="6160" width="24.26953125" style="92" customWidth="1"/>
    <col min="6161" max="6161" width="15.36328125" style="92" bestFit="1" customWidth="1"/>
    <col min="6162" max="6163" width="9.08984375" style="92"/>
    <col min="6164" max="6164" width="13.08984375" style="92" bestFit="1" customWidth="1"/>
    <col min="6165" max="6402" width="9.08984375" style="92"/>
    <col min="6403" max="6403" width="5.36328125" style="92" customWidth="1"/>
    <col min="6404" max="6404" width="28" style="92" customWidth="1"/>
    <col min="6405" max="6405" width="8" style="92" customWidth="1"/>
    <col min="6406" max="6406" width="7.26953125" style="92" customWidth="1"/>
    <col min="6407" max="6407" width="6.90625" style="92" customWidth="1"/>
    <col min="6408" max="6408" width="7.36328125" style="92" customWidth="1"/>
    <col min="6409" max="6410" width="9.08984375" style="92"/>
    <col min="6411" max="6411" width="17.08984375" style="92" customWidth="1"/>
    <col min="6412" max="6412" width="30.26953125" style="92" customWidth="1"/>
    <col min="6413" max="6415" width="9.08984375" style="92"/>
    <col min="6416" max="6416" width="24.26953125" style="92" customWidth="1"/>
    <col min="6417" max="6417" width="15.36328125" style="92" bestFit="1" customWidth="1"/>
    <col min="6418" max="6419" width="9.08984375" style="92"/>
    <col min="6420" max="6420" width="13.08984375" style="92" bestFit="1" customWidth="1"/>
    <col min="6421" max="6658" width="9.08984375" style="92"/>
    <col min="6659" max="6659" width="5.36328125" style="92" customWidth="1"/>
    <col min="6660" max="6660" width="28" style="92" customWidth="1"/>
    <col min="6661" max="6661" width="8" style="92" customWidth="1"/>
    <col min="6662" max="6662" width="7.26953125" style="92" customWidth="1"/>
    <col min="6663" max="6663" width="6.90625" style="92" customWidth="1"/>
    <col min="6664" max="6664" width="7.36328125" style="92" customWidth="1"/>
    <col min="6665" max="6666" width="9.08984375" style="92"/>
    <col min="6667" max="6667" width="17.08984375" style="92" customWidth="1"/>
    <col min="6668" max="6668" width="30.26953125" style="92" customWidth="1"/>
    <col min="6669" max="6671" width="9.08984375" style="92"/>
    <col min="6672" max="6672" width="24.26953125" style="92" customWidth="1"/>
    <col min="6673" max="6673" width="15.36328125" style="92" bestFit="1" customWidth="1"/>
    <col min="6674" max="6675" width="9.08984375" style="92"/>
    <col min="6676" max="6676" width="13.08984375" style="92" bestFit="1" customWidth="1"/>
    <col min="6677" max="6914" width="9.08984375" style="92"/>
    <col min="6915" max="6915" width="5.36328125" style="92" customWidth="1"/>
    <col min="6916" max="6916" width="28" style="92" customWidth="1"/>
    <col min="6917" max="6917" width="8" style="92" customWidth="1"/>
    <col min="6918" max="6918" width="7.26953125" style="92" customWidth="1"/>
    <col min="6919" max="6919" width="6.90625" style="92" customWidth="1"/>
    <col min="6920" max="6920" width="7.36328125" style="92" customWidth="1"/>
    <col min="6921" max="6922" width="9.08984375" style="92"/>
    <col min="6923" max="6923" width="17.08984375" style="92" customWidth="1"/>
    <col min="6924" max="6924" width="30.26953125" style="92" customWidth="1"/>
    <col min="6925" max="6927" width="9.08984375" style="92"/>
    <col min="6928" max="6928" width="24.26953125" style="92" customWidth="1"/>
    <col min="6929" max="6929" width="15.36328125" style="92" bestFit="1" customWidth="1"/>
    <col min="6930" max="6931" width="9.08984375" style="92"/>
    <col min="6932" max="6932" width="13.08984375" style="92" bestFit="1" customWidth="1"/>
    <col min="6933" max="7170" width="9.08984375" style="92"/>
    <col min="7171" max="7171" width="5.36328125" style="92" customWidth="1"/>
    <col min="7172" max="7172" width="28" style="92" customWidth="1"/>
    <col min="7173" max="7173" width="8" style="92" customWidth="1"/>
    <col min="7174" max="7174" width="7.26953125" style="92" customWidth="1"/>
    <col min="7175" max="7175" width="6.90625" style="92" customWidth="1"/>
    <col min="7176" max="7176" width="7.36328125" style="92" customWidth="1"/>
    <col min="7177" max="7178" width="9.08984375" style="92"/>
    <col min="7179" max="7179" width="17.08984375" style="92" customWidth="1"/>
    <col min="7180" max="7180" width="30.26953125" style="92" customWidth="1"/>
    <col min="7181" max="7183" width="9.08984375" style="92"/>
    <col min="7184" max="7184" width="24.26953125" style="92" customWidth="1"/>
    <col min="7185" max="7185" width="15.36328125" style="92" bestFit="1" customWidth="1"/>
    <col min="7186" max="7187" width="9.08984375" style="92"/>
    <col min="7188" max="7188" width="13.08984375" style="92" bestFit="1" customWidth="1"/>
    <col min="7189" max="7426" width="9.08984375" style="92"/>
    <col min="7427" max="7427" width="5.36328125" style="92" customWidth="1"/>
    <col min="7428" max="7428" width="28" style="92" customWidth="1"/>
    <col min="7429" max="7429" width="8" style="92" customWidth="1"/>
    <col min="7430" max="7430" width="7.26953125" style="92" customWidth="1"/>
    <col min="7431" max="7431" width="6.90625" style="92" customWidth="1"/>
    <col min="7432" max="7432" width="7.36328125" style="92" customWidth="1"/>
    <col min="7433" max="7434" width="9.08984375" style="92"/>
    <col min="7435" max="7435" width="17.08984375" style="92" customWidth="1"/>
    <col min="7436" max="7436" width="30.26953125" style="92" customWidth="1"/>
    <col min="7437" max="7439" width="9.08984375" style="92"/>
    <col min="7440" max="7440" width="24.26953125" style="92" customWidth="1"/>
    <col min="7441" max="7441" width="15.36328125" style="92" bestFit="1" customWidth="1"/>
    <col min="7442" max="7443" width="9.08984375" style="92"/>
    <col min="7444" max="7444" width="13.08984375" style="92" bestFit="1" customWidth="1"/>
    <col min="7445" max="7682" width="9.08984375" style="92"/>
    <col min="7683" max="7683" width="5.36328125" style="92" customWidth="1"/>
    <col min="7684" max="7684" width="28" style="92" customWidth="1"/>
    <col min="7685" max="7685" width="8" style="92" customWidth="1"/>
    <col min="7686" max="7686" width="7.26953125" style="92" customWidth="1"/>
    <col min="7687" max="7687" width="6.90625" style="92" customWidth="1"/>
    <col min="7688" max="7688" width="7.36328125" style="92" customWidth="1"/>
    <col min="7689" max="7690" width="9.08984375" style="92"/>
    <col min="7691" max="7691" width="17.08984375" style="92" customWidth="1"/>
    <col min="7692" max="7692" width="30.26953125" style="92" customWidth="1"/>
    <col min="7693" max="7695" width="9.08984375" style="92"/>
    <col min="7696" max="7696" width="24.26953125" style="92" customWidth="1"/>
    <col min="7697" max="7697" width="15.36328125" style="92" bestFit="1" customWidth="1"/>
    <col min="7698" max="7699" width="9.08984375" style="92"/>
    <col min="7700" max="7700" width="13.08984375" style="92" bestFit="1" customWidth="1"/>
    <col min="7701" max="7938" width="9.08984375" style="92"/>
    <col min="7939" max="7939" width="5.36328125" style="92" customWidth="1"/>
    <col min="7940" max="7940" width="28" style="92" customWidth="1"/>
    <col min="7941" max="7941" width="8" style="92" customWidth="1"/>
    <col min="7942" max="7942" width="7.26953125" style="92" customWidth="1"/>
    <col min="7943" max="7943" width="6.90625" style="92" customWidth="1"/>
    <col min="7944" max="7944" width="7.36328125" style="92" customWidth="1"/>
    <col min="7945" max="7946" width="9.08984375" style="92"/>
    <col min="7947" max="7947" width="17.08984375" style="92" customWidth="1"/>
    <col min="7948" max="7948" width="30.26953125" style="92" customWidth="1"/>
    <col min="7949" max="7951" width="9.08984375" style="92"/>
    <col min="7952" max="7952" width="24.26953125" style="92" customWidth="1"/>
    <col min="7953" max="7953" width="15.36328125" style="92" bestFit="1" customWidth="1"/>
    <col min="7954" max="7955" width="9.08984375" style="92"/>
    <col min="7956" max="7956" width="13.08984375" style="92" bestFit="1" customWidth="1"/>
    <col min="7957" max="8194" width="9.08984375" style="92"/>
    <col min="8195" max="8195" width="5.36328125" style="92" customWidth="1"/>
    <col min="8196" max="8196" width="28" style="92" customWidth="1"/>
    <col min="8197" max="8197" width="8" style="92" customWidth="1"/>
    <col min="8198" max="8198" width="7.26953125" style="92" customWidth="1"/>
    <col min="8199" max="8199" width="6.90625" style="92" customWidth="1"/>
    <col min="8200" max="8200" width="7.36328125" style="92" customWidth="1"/>
    <col min="8201" max="8202" width="9.08984375" style="92"/>
    <col min="8203" max="8203" width="17.08984375" style="92" customWidth="1"/>
    <col min="8204" max="8204" width="30.26953125" style="92" customWidth="1"/>
    <col min="8205" max="8207" width="9.08984375" style="92"/>
    <col min="8208" max="8208" width="24.26953125" style="92" customWidth="1"/>
    <col min="8209" max="8209" width="15.36328125" style="92" bestFit="1" customWidth="1"/>
    <col min="8210" max="8211" width="9.08984375" style="92"/>
    <col min="8212" max="8212" width="13.08984375" style="92" bestFit="1" customWidth="1"/>
    <col min="8213" max="8450" width="9.08984375" style="92"/>
    <col min="8451" max="8451" width="5.36328125" style="92" customWidth="1"/>
    <col min="8452" max="8452" width="28" style="92" customWidth="1"/>
    <col min="8453" max="8453" width="8" style="92" customWidth="1"/>
    <col min="8454" max="8454" width="7.26953125" style="92" customWidth="1"/>
    <col min="8455" max="8455" width="6.90625" style="92" customWidth="1"/>
    <col min="8456" max="8456" width="7.36328125" style="92" customWidth="1"/>
    <col min="8457" max="8458" width="9.08984375" style="92"/>
    <col min="8459" max="8459" width="17.08984375" style="92" customWidth="1"/>
    <col min="8460" max="8460" width="30.26953125" style="92" customWidth="1"/>
    <col min="8461" max="8463" width="9.08984375" style="92"/>
    <col min="8464" max="8464" width="24.26953125" style="92" customWidth="1"/>
    <col min="8465" max="8465" width="15.36328125" style="92" bestFit="1" customWidth="1"/>
    <col min="8466" max="8467" width="9.08984375" style="92"/>
    <col min="8468" max="8468" width="13.08984375" style="92" bestFit="1" customWidth="1"/>
    <col min="8469" max="8706" width="9.08984375" style="92"/>
    <col min="8707" max="8707" width="5.36328125" style="92" customWidth="1"/>
    <col min="8708" max="8708" width="28" style="92" customWidth="1"/>
    <col min="8709" max="8709" width="8" style="92" customWidth="1"/>
    <col min="8710" max="8710" width="7.26953125" style="92" customWidth="1"/>
    <col min="8711" max="8711" width="6.90625" style="92" customWidth="1"/>
    <col min="8712" max="8712" width="7.36328125" style="92" customWidth="1"/>
    <col min="8713" max="8714" width="9.08984375" style="92"/>
    <col min="8715" max="8715" width="17.08984375" style="92" customWidth="1"/>
    <col min="8716" max="8716" width="30.26953125" style="92" customWidth="1"/>
    <col min="8717" max="8719" width="9.08984375" style="92"/>
    <col min="8720" max="8720" width="24.26953125" style="92" customWidth="1"/>
    <col min="8721" max="8721" width="15.36328125" style="92" bestFit="1" customWidth="1"/>
    <col min="8722" max="8723" width="9.08984375" style="92"/>
    <col min="8724" max="8724" width="13.08984375" style="92" bestFit="1" customWidth="1"/>
    <col min="8725" max="8962" width="9.08984375" style="92"/>
    <col min="8963" max="8963" width="5.36328125" style="92" customWidth="1"/>
    <col min="8964" max="8964" width="28" style="92" customWidth="1"/>
    <col min="8965" max="8965" width="8" style="92" customWidth="1"/>
    <col min="8966" max="8966" width="7.26953125" style="92" customWidth="1"/>
    <col min="8967" max="8967" width="6.90625" style="92" customWidth="1"/>
    <col min="8968" max="8968" width="7.36328125" style="92" customWidth="1"/>
    <col min="8969" max="8970" width="9.08984375" style="92"/>
    <col min="8971" max="8971" width="17.08984375" style="92" customWidth="1"/>
    <col min="8972" max="8972" width="30.26953125" style="92" customWidth="1"/>
    <col min="8973" max="8975" width="9.08984375" style="92"/>
    <col min="8976" max="8976" width="24.26953125" style="92" customWidth="1"/>
    <col min="8977" max="8977" width="15.36328125" style="92" bestFit="1" customWidth="1"/>
    <col min="8978" max="8979" width="9.08984375" style="92"/>
    <col min="8980" max="8980" width="13.08984375" style="92" bestFit="1" customWidth="1"/>
    <col min="8981" max="9218" width="9.08984375" style="92"/>
    <col min="9219" max="9219" width="5.36328125" style="92" customWidth="1"/>
    <col min="9220" max="9220" width="28" style="92" customWidth="1"/>
    <col min="9221" max="9221" width="8" style="92" customWidth="1"/>
    <col min="9222" max="9222" width="7.26953125" style="92" customWidth="1"/>
    <col min="9223" max="9223" width="6.90625" style="92" customWidth="1"/>
    <col min="9224" max="9224" width="7.36328125" style="92" customWidth="1"/>
    <col min="9225" max="9226" width="9.08984375" style="92"/>
    <col min="9227" max="9227" width="17.08984375" style="92" customWidth="1"/>
    <col min="9228" max="9228" width="30.26953125" style="92" customWidth="1"/>
    <col min="9229" max="9231" width="9.08984375" style="92"/>
    <col min="9232" max="9232" width="24.26953125" style="92" customWidth="1"/>
    <col min="9233" max="9233" width="15.36328125" style="92" bestFit="1" customWidth="1"/>
    <col min="9234" max="9235" width="9.08984375" style="92"/>
    <col min="9236" max="9236" width="13.08984375" style="92" bestFit="1" customWidth="1"/>
    <col min="9237" max="9474" width="9.08984375" style="92"/>
    <col min="9475" max="9475" width="5.36328125" style="92" customWidth="1"/>
    <col min="9476" max="9476" width="28" style="92" customWidth="1"/>
    <col min="9477" max="9477" width="8" style="92" customWidth="1"/>
    <col min="9478" max="9478" width="7.26953125" style="92" customWidth="1"/>
    <col min="9479" max="9479" width="6.90625" style="92" customWidth="1"/>
    <col min="9480" max="9480" width="7.36328125" style="92" customWidth="1"/>
    <col min="9481" max="9482" width="9.08984375" style="92"/>
    <col min="9483" max="9483" width="17.08984375" style="92" customWidth="1"/>
    <col min="9484" max="9484" width="30.26953125" style="92" customWidth="1"/>
    <col min="9485" max="9487" width="9.08984375" style="92"/>
    <col min="9488" max="9488" width="24.26953125" style="92" customWidth="1"/>
    <col min="9489" max="9489" width="15.36328125" style="92" bestFit="1" customWidth="1"/>
    <col min="9490" max="9491" width="9.08984375" style="92"/>
    <col min="9492" max="9492" width="13.08984375" style="92" bestFit="1" customWidth="1"/>
    <col min="9493" max="9730" width="9.08984375" style="92"/>
    <col min="9731" max="9731" width="5.36328125" style="92" customWidth="1"/>
    <col min="9732" max="9732" width="28" style="92" customWidth="1"/>
    <col min="9733" max="9733" width="8" style="92" customWidth="1"/>
    <col min="9734" max="9734" width="7.26953125" style="92" customWidth="1"/>
    <col min="9735" max="9735" width="6.90625" style="92" customWidth="1"/>
    <col min="9736" max="9736" width="7.36328125" style="92" customWidth="1"/>
    <col min="9737" max="9738" width="9.08984375" style="92"/>
    <col min="9739" max="9739" width="17.08984375" style="92" customWidth="1"/>
    <col min="9740" max="9740" width="30.26953125" style="92" customWidth="1"/>
    <col min="9741" max="9743" width="9.08984375" style="92"/>
    <col min="9744" max="9744" width="24.26953125" style="92" customWidth="1"/>
    <col min="9745" max="9745" width="15.36328125" style="92" bestFit="1" customWidth="1"/>
    <col min="9746" max="9747" width="9.08984375" style="92"/>
    <col min="9748" max="9748" width="13.08984375" style="92" bestFit="1" customWidth="1"/>
    <col min="9749" max="9986" width="9.08984375" style="92"/>
    <col min="9987" max="9987" width="5.36328125" style="92" customWidth="1"/>
    <col min="9988" max="9988" width="28" style="92" customWidth="1"/>
    <col min="9989" max="9989" width="8" style="92" customWidth="1"/>
    <col min="9990" max="9990" width="7.26953125" style="92" customWidth="1"/>
    <col min="9991" max="9991" width="6.90625" style="92" customWidth="1"/>
    <col min="9992" max="9992" width="7.36328125" style="92" customWidth="1"/>
    <col min="9993" max="9994" width="9.08984375" style="92"/>
    <col min="9995" max="9995" width="17.08984375" style="92" customWidth="1"/>
    <col min="9996" max="9996" width="30.26953125" style="92" customWidth="1"/>
    <col min="9997" max="9999" width="9.08984375" style="92"/>
    <col min="10000" max="10000" width="24.26953125" style="92" customWidth="1"/>
    <col min="10001" max="10001" width="15.36328125" style="92" bestFit="1" customWidth="1"/>
    <col min="10002" max="10003" width="9.08984375" style="92"/>
    <col min="10004" max="10004" width="13.08984375" style="92" bestFit="1" customWidth="1"/>
    <col min="10005" max="10242" width="9.08984375" style="92"/>
    <col min="10243" max="10243" width="5.36328125" style="92" customWidth="1"/>
    <col min="10244" max="10244" width="28" style="92" customWidth="1"/>
    <col min="10245" max="10245" width="8" style="92" customWidth="1"/>
    <col min="10246" max="10246" width="7.26953125" style="92" customWidth="1"/>
    <col min="10247" max="10247" width="6.90625" style="92" customWidth="1"/>
    <col min="10248" max="10248" width="7.36328125" style="92" customWidth="1"/>
    <col min="10249" max="10250" width="9.08984375" style="92"/>
    <col min="10251" max="10251" width="17.08984375" style="92" customWidth="1"/>
    <col min="10252" max="10252" width="30.26953125" style="92" customWidth="1"/>
    <col min="10253" max="10255" width="9.08984375" style="92"/>
    <col min="10256" max="10256" width="24.26953125" style="92" customWidth="1"/>
    <col min="10257" max="10257" width="15.36328125" style="92" bestFit="1" customWidth="1"/>
    <col min="10258" max="10259" width="9.08984375" style="92"/>
    <col min="10260" max="10260" width="13.08984375" style="92" bestFit="1" customWidth="1"/>
    <col min="10261" max="10498" width="9.08984375" style="92"/>
    <col min="10499" max="10499" width="5.36328125" style="92" customWidth="1"/>
    <col min="10500" max="10500" width="28" style="92" customWidth="1"/>
    <col min="10501" max="10501" width="8" style="92" customWidth="1"/>
    <col min="10502" max="10502" width="7.26953125" style="92" customWidth="1"/>
    <col min="10503" max="10503" width="6.90625" style="92" customWidth="1"/>
    <col min="10504" max="10504" width="7.36328125" style="92" customWidth="1"/>
    <col min="10505" max="10506" width="9.08984375" style="92"/>
    <col min="10507" max="10507" width="17.08984375" style="92" customWidth="1"/>
    <col min="10508" max="10508" width="30.26953125" style="92" customWidth="1"/>
    <col min="10509" max="10511" width="9.08984375" style="92"/>
    <col min="10512" max="10512" width="24.26953125" style="92" customWidth="1"/>
    <col min="10513" max="10513" width="15.36328125" style="92" bestFit="1" customWidth="1"/>
    <col min="10514" max="10515" width="9.08984375" style="92"/>
    <col min="10516" max="10516" width="13.08984375" style="92" bestFit="1" customWidth="1"/>
    <col min="10517" max="10754" width="9.08984375" style="92"/>
    <col min="10755" max="10755" width="5.36328125" style="92" customWidth="1"/>
    <col min="10756" max="10756" width="28" style="92" customWidth="1"/>
    <col min="10757" max="10757" width="8" style="92" customWidth="1"/>
    <col min="10758" max="10758" width="7.26953125" style="92" customWidth="1"/>
    <col min="10759" max="10759" width="6.90625" style="92" customWidth="1"/>
    <col min="10760" max="10760" width="7.36328125" style="92" customWidth="1"/>
    <col min="10761" max="10762" width="9.08984375" style="92"/>
    <col min="10763" max="10763" width="17.08984375" style="92" customWidth="1"/>
    <col min="10764" max="10764" width="30.26953125" style="92" customWidth="1"/>
    <col min="10765" max="10767" width="9.08984375" style="92"/>
    <col min="10768" max="10768" width="24.26953125" style="92" customWidth="1"/>
    <col min="10769" max="10769" width="15.36328125" style="92" bestFit="1" customWidth="1"/>
    <col min="10770" max="10771" width="9.08984375" style="92"/>
    <col min="10772" max="10772" width="13.08984375" style="92" bestFit="1" customWidth="1"/>
    <col min="10773" max="11010" width="9.08984375" style="92"/>
    <col min="11011" max="11011" width="5.36328125" style="92" customWidth="1"/>
    <col min="11012" max="11012" width="28" style="92" customWidth="1"/>
    <col min="11013" max="11013" width="8" style="92" customWidth="1"/>
    <col min="11014" max="11014" width="7.26953125" style="92" customWidth="1"/>
    <col min="11015" max="11015" width="6.90625" style="92" customWidth="1"/>
    <col min="11016" max="11016" width="7.36328125" style="92" customWidth="1"/>
    <col min="11017" max="11018" width="9.08984375" style="92"/>
    <col min="11019" max="11019" width="17.08984375" style="92" customWidth="1"/>
    <col min="11020" max="11020" width="30.26953125" style="92" customWidth="1"/>
    <col min="11021" max="11023" width="9.08984375" style="92"/>
    <col min="11024" max="11024" width="24.26953125" style="92" customWidth="1"/>
    <col min="11025" max="11025" width="15.36328125" style="92" bestFit="1" customWidth="1"/>
    <col min="11026" max="11027" width="9.08984375" style="92"/>
    <col min="11028" max="11028" width="13.08984375" style="92" bestFit="1" customWidth="1"/>
    <col min="11029" max="11266" width="9.08984375" style="92"/>
    <col min="11267" max="11267" width="5.36328125" style="92" customWidth="1"/>
    <col min="11268" max="11268" width="28" style="92" customWidth="1"/>
    <col min="11269" max="11269" width="8" style="92" customWidth="1"/>
    <col min="11270" max="11270" width="7.26953125" style="92" customWidth="1"/>
    <col min="11271" max="11271" width="6.90625" style="92" customWidth="1"/>
    <col min="11272" max="11272" width="7.36328125" style="92" customWidth="1"/>
    <col min="11273" max="11274" width="9.08984375" style="92"/>
    <col min="11275" max="11275" width="17.08984375" style="92" customWidth="1"/>
    <col min="11276" max="11276" width="30.26953125" style="92" customWidth="1"/>
    <col min="11277" max="11279" width="9.08984375" style="92"/>
    <col min="11280" max="11280" width="24.26953125" style="92" customWidth="1"/>
    <col min="11281" max="11281" width="15.36328125" style="92" bestFit="1" customWidth="1"/>
    <col min="11282" max="11283" width="9.08984375" style="92"/>
    <col min="11284" max="11284" width="13.08984375" style="92" bestFit="1" customWidth="1"/>
    <col min="11285" max="11522" width="9.08984375" style="92"/>
    <col min="11523" max="11523" width="5.36328125" style="92" customWidth="1"/>
    <col min="11524" max="11524" width="28" style="92" customWidth="1"/>
    <col min="11525" max="11525" width="8" style="92" customWidth="1"/>
    <col min="11526" max="11526" width="7.26953125" style="92" customWidth="1"/>
    <col min="11527" max="11527" width="6.90625" style="92" customWidth="1"/>
    <col min="11528" max="11528" width="7.36328125" style="92" customWidth="1"/>
    <col min="11529" max="11530" width="9.08984375" style="92"/>
    <col min="11531" max="11531" width="17.08984375" style="92" customWidth="1"/>
    <col min="11532" max="11532" width="30.26953125" style="92" customWidth="1"/>
    <col min="11533" max="11535" width="9.08984375" style="92"/>
    <col min="11536" max="11536" width="24.26953125" style="92" customWidth="1"/>
    <col min="11537" max="11537" width="15.36328125" style="92" bestFit="1" customWidth="1"/>
    <col min="11538" max="11539" width="9.08984375" style="92"/>
    <col min="11540" max="11540" width="13.08984375" style="92" bestFit="1" customWidth="1"/>
    <col min="11541" max="11778" width="9.08984375" style="92"/>
    <col min="11779" max="11779" width="5.36328125" style="92" customWidth="1"/>
    <col min="11780" max="11780" width="28" style="92" customWidth="1"/>
    <col min="11781" max="11781" width="8" style="92" customWidth="1"/>
    <col min="11782" max="11782" width="7.26953125" style="92" customWidth="1"/>
    <col min="11783" max="11783" width="6.90625" style="92" customWidth="1"/>
    <col min="11784" max="11784" width="7.36328125" style="92" customWidth="1"/>
    <col min="11785" max="11786" width="9.08984375" style="92"/>
    <col min="11787" max="11787" width="17.08984375" style="92" customWidth="1"/>
    <col min="11788" max="11788" width="30.26953125" style="92" customWidth="1"/>
    <col min="11789" max="11791" width="9.08984375" style="92"/>
    <col min="11792" max="11792" width="24.26953125" style="92" customWidth="1"/>
    <col min="11793" max="11793" width="15.36328125" style="92" bestFit="1" customWidth="1"/>
    <col min="11794" max="11795" width="9.08984375" style="92"/>
    <col min="11796" max="11796" width="13.08984375" style="92" bestFit="1" customWidth="1"/>
    <col min="11797" max="12034" width="9.08984375" style="92"/>
    <col min="12035" max="12035" width="5.36328125" style="92" customWidth="1"/>
    <col min="12036" max="12036" width="28" style="92" customWidth="1"/>
    <col min="12037" max="12037" width="8" style="92" customWidth="1"/>
    <col min="12038" max="12038" width="7.26953125" style="92" customWidth="1"/>
    <col min="12039" max="12039" width="6.90625" style="92" customWidth="1"/>
    <col min="12040" max="12040" width="7.36328125" style="92" customWidth="1"/>
    <col min="12041" max="12042" width="9.08984375" style="92"/>
    <col min="12043" max="12043" width="17.08984375" style="92" customWidth="1"/>
    <col min="12044" max="12044" width="30.26953125" style="92" customWidth="1"/>
    <col min="12045" max="12047" width="9.08984375" style="92"/>
    <col min="12048" max="12048" width="24.26953125" style="92" customWidth="1"/>
    <col min="12049" max="12049" width="15.36328125" style="92" bestFit="1" customWidth="1"/>
    <col min="12050" max="12051" width="9.08984375" style="92"/>
    <col min="12052" max="12052" width="13.08984375" style="92" bestFit="1" customWidth="1"/>
    <col min="12053" max="12290" width="9.08984375" style="92"/>
    <col min="12291" max="12291" width="5.36328125" style="92" customWidth="1"/>
    <col min="12292" max="12292" width="28" style="92" customWidth="1"/>
    <col min="12293" max="12293" width="8" style="92" customWidth="1"/>
    <col min="12294" max="12294" width="7.26953125" style="92" customWidth="1"/>
    <col min="12295" max="12295" width="6.90625" style="92" customWidth="1"/>
    <col min="12296" max="12296" width="7.36328125" style="92" customWidth="1"/>
    <col min="12297" max="12298" width="9.08984375" style="92"/>
    <col min="12299" max="12299" width="17.08984375" style="92" customWidth="1"/>
    <col min="12300" max="12300" width="30.26953125" style="92" customWidth="1"/>
    <col min="12301" max="12303" width="9.08984375" style="92"/>
    <col min="12304" max="12304" width="24.26953125" style="92" customWidth="1"/>
    <col min="12305" max="12305" width="15.36328125" style="92" bestFit="1" customWidth="1"/>
    <col min="12306" max="12307" width="9.08984375" style="92"/>
    <col min="12308" max="12308" width="13.08984375" style="92" bestFit="1" customWidth="1"/>
    <col min="12309" max="12546" width="9.08984375" style="92"/>
    <col min="12547" max="12547" width="5.36328125" style="92" customWidth="1"/>
    <col min="12548" max="12548" width="28" style="92" customWidth="1"/>
    <col min="12549" max="12549" width="8" style="92" customWidth="1"/>
    <col min="12550" max="12550" width="7.26953125" style="92" customWidth="1"/>
    <col min="12551" max="12551" width="6.90625" style="92" customWidth="1"/>
    <col min="12552" max="12552" width="7.36328125" style="92" customWidth="1"/>
    <col min="12553" max="12554" width="9.08984375" style="92"/>
    <col min="12555" max="12555" width="17.08984375" style="92" customWidth="1"/>
    <col min="12556" max="12556" width="30.26953125" style="92" customWidth="1"/>
    <col min="12557" max="12559" width="9.08984375" style="92"/>
    <col min="12560" max="12560" width="24.26953125" style="92" customWidth="1"/>
    <col min="12561" max="12561" width="15.36328125" style="92" bestFit="1" customWidth="1"/>
    <col min="12562" max="12563" width="9.08984375" style="92"/>
    <col min="12564" max="12564" width="13.08984375" style="92" bestFit="1" customWidth="1"/>
    <col min="12565" max="12802" width="9.08984375" style="92"/>
    <col min="12803" max="12803" width="5.36328125" style="92" customWidth="1"/>
    <col min="12804" max="12804" width="28" style="92" customWidth="1"/>
    <col min="12805" max="12805" width="8" style="92" customWidth="1"/>
    <col min="12806" max="12806" width="7.26953125" style="92" customWidth="1"/>
    <col min="12807" max="12807" width="6.90625" style="92" customWidth="1"/>
    <col min="12808" max="12808" width="7.36328125" style="92" customWidth="1"/>
    <col min="12809" max="12810" width="9.08984375" style="92"/>
    <col min="12811" max="12811" width="17.08984375" style="92" customWidth="1"/>
    <col min="12812" max="12812" width="30.26953125" style="92" customWidth="1"/>
    <col min="12813" max="12815" width="9.08984375" style="92"/>
    <col min="12816" max="12816" width="24.26953125" style="92" customWidth="1"/>
    <col min="12817" max="12817" width="15.36328125" style="92" bestFit="1" customWidth="1"/>
    <col min="12818" max="12819" width="9.08984375" style="92"/>
    <col min="12820" max="12820" width="13.08984375" style="92" bestFit="1" customWidth="1"/>
    <col min="12821" max="13058" width="9.08984375" style="92"/>
    <col min="13059" max="13059" width="5.36328125" style="92" customWidth="1"/>
    <col min="13060" max="13060" width="28" style="92" customWidth="1"/>
    <col min="13061" max="13061" width="8" style="92" customWidth="1"/>
    <col min="13062" max="13062" width="7.26953125" style="92" customWidth="1"/>
    <col min="13063" max="13063" width="6.90625" style="92" customWidth="1"/>
    <col min="13064" max="13064" width="7.36328125" style="92" customWidth="1"/>
    <col min="13065" max="13066" width="9.08984375" style="92"/>
    <col min="13067" max="13067" width="17.08984375" style="92" customWidth="1"/>
    <col min="13068" max="13068" width="30.26953125" style="92" customWidth="1"/>
    <col min="13069" max="13071" width="9.08984375" style="92"/>
    <col min="13072" max="13072" width="24.26953125" style="92" customWidth="1"/>
    <col min="13073" max="13073" width="15.36328125" style="92" bestFit="1" customWidth="1"/>
    <col min="13074" max="13075" width="9.08984375" style="92"/>
    <col min="13076" max="13076" width="13.08984375" style="92" bestFit="1" customWidth="1"/>
    <col min="13077" max="13314" width="9.08984375" style="92"/>
    <col min="13315" max="13315" width="5.36328125" style="92" customWidth="1"/>
    <col min="13316" max="13316" width="28" style="92" customWidth="1"/>
    <col min="13317" max="13317" width="8" style="92" customWidth="1"/>
    <col min="13318" max="13318" width="7.26953125" style="92" customWidth="1"/>
    <col min="13319" max="13319" width="6.90625" style="92" customWidth="1"/>
    <col min="13320" max="13320" width="7.36328125" style="92" customWidth="1"/>
    <col min="13321" max="13322" width="9.08984375" style="92"/>
    <col min="13323" max="13323" width="17.08984375" style="92" customWidth="1"/>
    <col min="13324" max="13324" width="30.26953125" style="92" customWidth="1"/>
    <col min="13325" max="13327" width="9.08984375" style="92"/>
    <col min="13328" max="13328" width="24.26953125" style="92" customWidth="1"/>
    <col min="13329" max="13329" width="15.36328125" style="92" bestFit="1" customWidth="1"/>
    <col min="13330" max="13331" width="9.08984375" style="92"/>
    <col min="13332" max="13332" width="13.08984375" style="92" bestFit="1" customWidth="1"/>
    <col min="13333" max="13570" width="9.08984375" style="92"/>
    <col min="13571" max="13571" width="5.36328125" style="92" customWidth="1"/>
    <col min="13572" max="13572" width="28" style="92" customWidth="1"/>
    <col min="13573" max="13573" width="8" style="92" customWidth="1"/>
    <col min="13574" max="13574" width="7.26953125" style="92" customWidth="1"/>
    <col min="13575" max="13575" width="6.90625" style="92" customWidth="1"/>
    <col min="13576" max="13576" width="7.36328125" style="92" customWidth="1"/>
    <col min="13577" max="13578" width="9.08984375" style="92"/>
    <col min="13579" max="13579" width="17.08984375" style="92" customWidth="1"/>
    <col min="13580" max="13580" width="30.26953125" style="92" customWidth="1"/>
    <col min="13581" max="13583" width="9.08984375" style="92"/>
    <col min="13584" max="13584" width="24.26953125" style="92" customWidth="1"/>
    <col min="13585" max="13585" width="15.36328125" style="92" bestFit="1" customWidth="1"/>
    <col min="13586" max="13587" width="9.08984375" style="92"/>
    <col min="13588" max="13588" width="13.08984375" style="92" bestFit="1" customWidth="1"/>
    <col min="13589" max="13826" width="9.08984375" style="92"/>
    <col min="13827" max="13827" width="5.36328125" style="92" customWidth="1"/>
    <col min="13828" max="13828" width="28" style="92" customWidth="1"/>
    <col min="13829" max="13829" width="8" style="92" customWidth="1"/>
    <col min="13830" max="13830" width="7.26953125" style="92" customWidth="1"/>
    <col min="13831" max="13831" width="6.90625" style="92" customWidth="1"/>
    <col min="13832" max="13832" width="7.36328125" style="92" customWidth="1"/>
    <col min="13833" max="13834" width="9.08984375" style="92"/>
    <col min="13835" max="13835" width="17.08984375" style="92" customWidth="1"/>
    <col min="13836" max="13836" width="30.26953125" style="92" customWidth="1"/>
    <col min="13837" max="13839" width="9.08984375" style="92"/>
    <col min="13840" max="13840" width="24.26953125" style="92" customWidth="1"/>
    <col min="13841" max="13841" width="15.36328125" style="92" bestFit="1" customWidth="1"/>
    <col min="13842" max="13843" width="9.08984375" style="92"/>
    <col min="13844" max="13844" width="13.08984375" style="92" bestFit="1" customWidth="1"/>
    <col min="13845" max="14082" width="9.08984375" style="92"/>
    <col min="14083" max="14083" width="5.36328125" style="92" customWidth="1"/>
    <col min="14084" max="14084" width="28" style="92" customWidth="1"/>
    <col min="14085" max="14085" width="8" style="92" customWidth="1"/>
    <col min="14086" max="14086" width="7.26953125" style="92" customWidth="1"/>
    <col min="14087" max="14087" width="6.90625" style="92" customWidth="1"/>
    <col min="14088" max="14088" width="7.36328125" style="92" customWidth="1"/>
    <col min="14089" max="14090" width="9.08984375" style="92"/>
    <col min="14091" max="14091" width="17.08984375" style="92" customWidth="1"/>
    <col min="14092" max="14092" width="30.26953125" style="92" customWidth="1"/>
    <col min="14093" max="14095" width="9.08984375" style="92"/>
    <col min="14096" max="14096" width="24.26953125" style="92" customWidth="1"/>
    <col min="14097" max="14097" width="15.36328125" style="92" bestFit="1" customWidth="1"/>
    <col min="14098" max="14099" width="9.08984375" style="92"/>
    <col min="14100" max="14100" width="13.08984375" style="92" bestFit="1" customWidth="1"/>
    <col min="14101" max="14338" width="9.08984375" style="92"/>
    <col min="14339" max="14339" width="5.36328125" style="92" customWidth="1"/>
    <col min="14340" max="14340" width="28" style="92" customWidth="1"/>
    <col min="14341" max="14341" width="8" style="92" customWidth="1"/>
    <col min="14342" max="14342" width="7.26953125" style="92" customWidth="1"/>
    <col min="14343" max="14343" width="6.90625" style="92" customWidth="1"/>
    <col min="14344" max="14344" width="7.36328125" style="92" customWidth="1"/>
    <col min="14345" max="14346" width="9.08984375" style="92"/>
    <col min="14347" max="14347" width="17.08984375" style="92" customWidth="1"/>
    <col min="14348" max="14348" width="30.26953125" style="92" customWidth="1"/>
    <col min="14349" max="14351" width="9.08984375" style="92"/>
    <col min="14352" max="14352" width="24.26953125" style="92" customWidth="1"/>
    <col min="14353" max="14353" width="15.36328125" style="92" bestFit="1" customWidth="1"/>
    <col min="14354" max="14355" width="9.08984375" style="92"/>
    <col min="14356" max="14356" width="13.08984375" style="92" bestFit="1" customWidth="1"/>
    <col min="14357" max="14594" width="9.08984375" style="92"/>
    <col min="14595" max="14595" width="5.36328125" style="92" customWidth="1"/>
    <col min="14596" max="14596" width="28" style="92" customWidth="1"/>
    <col min="14597" max="14597" width="8" style="92" customWidth="1"/>
    <col min="14598" max="14598" width="7.26953125" style="92" customWidth="1"/>
    <col min="14599" max="14599" width="6.90625" style="92" customWidth="1"/>
    <col min="14600" max="14600" width="7.36328125" style="92" customWidth="1"/>
    <col min="14601" max="14602" width="9.08984375" style="92"/>
    <col min="14603" max="14603" width="17.08984375" style="92" customWidth="1"/>
    <col min="14604" max="14604" width="30.26953125" style="92" customWidth="1"/>
    <col min="14605" max="14607" width="9.08984375" style="92"/>
    <col min="14608" max="14608" width="24.26953125" style="92" customWidth="1"/>
    <col min="14609" max="14609" width="15.36328125" style="92" bestFit="1" customWidth="1"/>
    <col min="14610" max="14611" width="9.08984375" style="92"/>
    <col min="14612" max="14612" width="13.08984375" style="92" bestFit="1" customWidth="1"/>
    <col min="14613" max="14850" width="9.08984375" style="92"/>
    <col min="14851" max="14851" width="5.36328125" style="92" customWidth="1"/>
    <col min="14852" max="14852" width="28" style="92" customWidth="1"/>
    <col min="14853" max="14853" width="8" style="92" customWidth="1"/>
    <col min="14854" max="14854" width="7.26953125" style="92" customWidth="1"/>
    <col min="14855" max="14855" width="6.90625" style="92" customWidth="1"/>
    <col min="14856" max="14856" width="7.36328125" style="92" customWidth="1"/>
    <col min="14857" max="14858" width="9.08984375" style="92"/>
    <col min="14859" max="14859" width="17.08984375" style="92" customWidth="1"/>
    <col min="14860" max="14860" width="30.26953125" style="92" customWidth="1"/>
    <col min="14861" max="14863" width="9.08984375" style="92"/>
    <col min="14864" max="14864" width="24.26953125" style="92" customWidth="1"/>
    <col min="14865" max="14865" width="15.36328125" style="92" bestFit="1" customWidth="1"/>
    <col min="14866" max="14867" width="9.08984375" style="92"/>
    <col min="14868" max="14868" width="13.08984375" style="92" bestFit="1" customWidth="1"/>
    <col min="14869" max="15106" width="9.08984375" style="92"/>
    <col min="15107" max="15107" width="5.36328125" style="92" customWidth="1"/>
    <col min="15108" max="15108" width="28" style="92" customWidth="1"/>
    <col min="15109" max="15109" width="8" style="92" customWidth="1"/>
    <col min="15110" max="15110" width="7.26953125" style="92" customWidth="1"/>
    <col min="15111" max="15111" width="6.90625" style="92" customWidth="1"/>
    <col min="15112" max="15112" width="7.36328125" style="92" customWidth="1"/>
    <col min="15113" max="15114" width="9.08984375" style="92"/>
    <col min="15115" max="15115" width="17.08984375" style="92" customWidth="1"/>
    <col min="15116" max="15116" width="30.26953125" style="92" customWidth="1"/>
    <col min="15117" max="15119" width="9.08984375" style="92"/>
    <col min="15120" max="15120" width="24.26953125" style="92" customWidth="1"/>
    <col min="15121" max="15121" width="15.36328125" style="92" bestFit="1" customWidth="1"/>
    <col min="15122" max="15123" width="9.08984375" style="92"/>
    <col min="15124" max="15124" width="13.08984375" style="92" bestFit="1" customWidth="1"/>
    <col min="15125" max="15362" width="9.08984375" style="92"/>
    <col min="15363" max="15363" width="5.36328125" style="92" customWidth="1"/>
    <col min="15364" max="15364" width="28" style="92" customWidth="1"/>
    <col min="15365" max="15365" width="8" style="92" customWidth="1"/>
    <col min="15366" max="15366" width="7.26953125" style="92" customWidth="1"/>
    <col min="15367" max="15367" width="6.90625" style="92" customWidth="1"/>
    <col min="15368" max="15368" width="7.36328125" style="92" customWidth="1"/>
    <col min="15369" max="15370" width="9.08984375" style="92"/>
    <col min="15371" max="15371" width="17.08984375" style="92" customWidth="1"/>
    <col min="15372" max="15372" width="30.26953125" style="92" customWidth="1"/>
    <col min="15373" max="15375" width="9.08984375" style="92"/>
    <col min="15376" max="15376" width="24.26953125" style="92" customWidth="1"/>
    <col min="15377" max="15377" width="15.36328125" style="92" bestFit="1" customWidth="1"/>
    <col min="15378" max="15379" width="9.08984375" style="92"/>
    <col min="15380" max="15380" width="13.08984375" style="92" bestFit="1" customWidth="1"/>
    <col min="15381" max="15618" width="9.08984375" style="92"/>
    <col min="15619" max="15619" width="5.36328125" style="92" customWidth="1"/>
    <col min="15620" max="15620" width="28" style="92" customWidth="1"/>
    <col min="15621" max="15621" width="8" style="92" customWidth="1"/>
    <col min="15622" max="15622" width="7.26953125" style="92" customWidth="1"/>
    <col min="15623" max="15623" width="6.90625" style="92" customWidth="1"/>
    <col min="15624" max="15624" width="7.36328125" style="92" customWidth="1"/>
    <col min="15625" max="15626" width="9.08984375" style="92"/>
    <col min="15627" max="15627" width="17.08984375" style="92" customWidth="1"/>
    <col min="15628" max="15628" width="30.26953125" style="92" customWidth="1"/>
    <col min="15629" max="15631" width="9.08984375" style="92"/>
    <col min="15632" max="15632" width="24.26953125" style="92" customWidth="1"/>
    <col min="15633" max="15633" width="15.36328125" style="92" bestFit="1" customWidth="1"/>
    <col min="15634" max="15635" width="9.08984375" style="92"/>
    <col min="15636" max="15636" width="13.08984375" style="92" bestFit="1" customWidth="1"/>
    <col min="15637" max="15874" width="9.08984375" style="92"/>
    <col min="15875" max="15875" width="5.36328125" style="92" customWidth="1"/>
    <col min="15876" max="15876" width="28" style="92" customWidth="1"/>
    <col min="15877" max="15877" width="8" style="92" customWidth="1"/>
    <col min="15878" max="15878" width="7.26953125" style="92" customWidth="1"/>
    <col min="15879" max="15879" width="6.90625" style="92" customWidth="1"/>
    <col min="15880" max="15880" width="7.36328125" style="92" customWidth="1"/>
    <col min="15881" max="15882" width="9.08984375" style="92"/>
    <col min="15883" max="15883" width="17.08984375" style="92" customWidth="1"/>
    <col min="15884" max="15884" width="30.26953125" style="92" customWidth="1"/>
    <col min="15885" max="15887" width="9.08984375" style="92"/>
    <col min="15888" max="15888" width="24.26953125" style="92" customWidth="1"/>
    <col min="15889" max="15889" width="15.36328125" style="92" bestFit="1" customWidth="1"/>
    <col min="15890" max="15891" width="9.08984375" style="92"/>
    <col min="15892" max="15892" width="13.08984375" style="92" bestFit="1" customWidth="1"/>
    <col min="15893" max="16130" width="9.08984375" style="92"/>
    <col min="16131" max="16131" width="5.36328125" style="92" customWidth="1"/>
    <col min="16132" max="16132" width="28" style="92" customWidth="1"/>
    <col min="16133" max="16133" width="8" style="92" customWidth="1"/>
    <col min="16134" max="16134" width="7.26953125" style="92" customWidth="1"/>
    <col min="16135" max="16135" width="6.90625" style="92" customWidth="1"/>
    <col min="16136" max="16136" width="7.36328125" style="92" customWidth="1"/>
    <col min="16137" max="16138" width="9.08984375" style="92"/>
    <col min="16139" max="16139" width="17.08984375" style="92" customWidth="1"/>
    <col min="16140" max="16140" width="30.26953125" style="92" customWidth="1"/>
    <col min="16141" max="16143" width="9.08984375" style="92"/>
    <col min="16144" max="16144" width="24.26953125" style="92" customWidth="1"/>
    <col min="16145" max="16145" width="15.36328125" style="92" bestFit="1" customWidth="1"/>
    <col min="16146" max="16147" width="9.08984375" style="92"/>
    <col min="16148" max="16148" width="13.08984375" style="92" bestFit="1" customWidth="1"/>
    <col min="16149" max="16384" width="9.08984375" style="92"/>
  </cols>
  <sheetData>
    <row r="1" spans="2:21" ht="25" customHeight="1">
      <c r="C1" s="153" t="s">
        <v>35</v>
      </c>
      <c r="D1" s="153"/>
      <c r="E1" s="153"/>
      <c r="F1" s="153"/>
      <c r="G1" s="153"/>
      <c r="H1" s="153"/>
      <c r="I1" s="153"/>
      <c r="J1" s="153"/>
      <c r="K1" s="153"/>
      <c r="L1" s="153"/>
      <c r="M1" s="94"/>
      <c r="N1" s="94"/>
      <c r="O1" s="94"/>
      <c r="P1" s="94"/>
      <c r="Q1" s="94"/>
    </row>
    <row r="2" spans="2:21" ht="15" thickBot="1"/>
    <row r="3" spans="2:21" ht="21">
      <c r="B3" s="95"/>
      <c r="C3" s="1162" t="s">
        <v>36</v>
      </c>
      <c r="D3" s="1162"/>
      <c r="E3" s="1162"/>
      <c r="F3" s="1162"/>
      <c r="G3" s="1162"/>
      <c r="H3" s="1162"/>
      <c r="I3" s="1162"/>
      <c r="J3" s="1162"/>
      <c r="K3" s="1162"/>
      <c r="L3" s="1162"/>
      <c r="M3" s="96"/>
      <c r="N3" s="97"/>
      <c r="O3" s="97"/>
      <c r="P3" s="97"/>
      <c r="Q3" s="97"/>
    </row>
    <row r="4" spans="2:21">
      <c r="B4" s="98"/>
      <c r="M4" s="99"/>
    </row>
    <row r="5" spans="2:21" ht="21">
      <c r="B5" s="98"/>
      <c r="C5" s="154" t="s">
        <v>37</v>
      </c>
      <c r="D5" s="299"/>
      <c r="E5" s="299"/>
      <c r="F5" s="299"/>
      <c r="G5" s="299"/>
      <c r="H5" s="155"/>
      <c r="I5" s="155"/>
      <c r="K5" s="154" t="s">
        <v>38</v>
      </c>
      <c r="L5" s="155"/>
      <c r="M5" s="99"/>
    </row>
    <row r="6" spans="2:21">
      <c r="B6" s="98"/>
      <c r="C6" s="300"/>
      <c r="D6" s="301" t="s">
        <v>39</v>
      </c>
      <c r="E6" s="301"/>
      <c r="F6" s="301"/>
      <c r="G6" s="301"/>
      <c r="H6" s="301"/>
      <c r="I6" s="301"/>
      <c r="K6" s="1163" t="s">
        <v>40</v>
      </c>
      <c r="L6" s="1165" t="s">
        <v>41</v>
      </c>
      <c r="M6" s="99"/>
    </row>
    <row r="7" spans="2:21">
      <c r="B7" s="98"/>
      <c r="C7" s="300" t="s">
        <v>42</v>
      </c>
      <c r="D7" s="311" t="s">
        <v>43</v>
      </c>
      <c r="E7" s="311" t="s">
        <v>44</v>
      </c>
      <c r="F7" s="311" t="s">
        <v>45</v>
      </c>
      <c r="G7" s="301" t="s">
        <v>46</v>
      </c>
      <c r="H7" s="301" t="s">
        <v>47</v>
      </c>
      <c r="I7" s="301" t="s">
        <v>48</v>
      </c>
      <c r="K7" s="1164"/>
      <c r="L7" s="1166"/>
      <c r="M7" s="99"/>
    </row>
    <row r="8" spans="2:21">
      <c r="B8" s="98"/>
      <c r="C8" s="302" t="s">
        <v>49</v>
      </c>
      <c r="D8" s="1096" t="s">
        <v>50</v>
      </c>
      <c r="E8" s="312">
        <f>'AWPB Yr 2'!R29</f>
        <v>0.30666666666666664</v>
      </c>
      <c r="F8" s="312">
        <f>'AWPB Yr 3'!Q29</f>
        <v>0.26666666666666666</v>
      </c>
      <c r="G8" s="312">
        <f>'AWPB Yr 4'!P29</f>
        <v>0.45757575757575758</v>
      </c>
      <c r="H8" s="312">
        <f>'AWPB Yr 5'!P28</f>
        <v>0.5</v>
      </c>
      <c r="I8" s="303">
        <f>'AWPB Yr 6'!P29</f>
        <v>0</v>
      </c>
      <c r="K8" s="231" t="s">
        <v>43</v>
      </c>
      <c r="L8" s="1097" t="s">
        <v>50</v>
      </c>
      <c r="M8" s="99"/>
    </row>
    <row r="9" spans="2:21">
      <c r="B9" s="98"/>
      <c r="C9" s="302" t="s">
        <v>51</v>
      </c>
      <c r="D9" s="1096" t="s">
        <v>50</v>
      </c>
      <c r="E9" s="312">
        <f>'AWPB Yr 2'!R43</f>
        <v>0.2</v>
      </c>
      <c r="F9" s="312">
        <f>'AWPB Yr 3'!Q45</f>
        <v>0.46071428571428574</v>
      </c>
      <c r="G9" s="312">
        <f>'AWPB Yr 4'!P47</f>
        <v>0.49338624338624343</v>
      </c>
      <c r="H9" s="312">
        <f>'AWPB Yr 5'!P46</f>
        <v>0.66874999999999996</v>
      </c>
      <c r="I9" s="303">
        <f>'AWPB Yr 6'!P47</f>
        <v>0</v>
      </c>
      <c r="K9" s="231" t="s">
        <v>44</v>
      </c>
      <c r="L9" s="230">
        <f>'Results Framework'!M89</f>
        <v>0.39629629629629631</v>
      </c>
      <c r="M9" s="99"/>
    </row>
    <row r="10" spans="2:21">
      <c r="B10" s="98"/>
      <c r="C10" s="1098" t="s">
        <v>52</v>
      </c>
      <c r="D10" s="1096" t="s">
        <v>50</v>
      </c>
      <c r="E10" s="312">
        <f>'AWPB Yr 2'!R94</f>
        <v>0.47523809523809524</v>
      </c>
      <c r="F10" s="312">
        <f>'AWPB Yr 3'!Q93</f>
        <v>0.70000000000000007</v>
      </c>
      <c r="G10" s="312">
        <f>'AWPB Yr 4'!P98</f>
        <v>0.5754954954954955</v>
      </c>
      <c r="H10" s="312">
        <f>'AWPB Yr 5'!P98</f>
        <v>0.68667230205691743</v>
      </c>
      <c r="I10" s="303">
        <f>'AWPB Yr 6'!P98</f>
        <v>0</v>
      </c>
      <c r="K10" s="231" t="s">
        <v>45</v>
      </c>
      <c r="L10" s="230">
        <f>'Results Framework'!P89</f>
        <v>0.67618661982200423</v>
      </c>
      <c r="M10" s="99"/>
    </row>
    <row r="11" spans="2:21">
      <c r="B11" s="98"/>
      <c r="C11" s="1098" t="s">
        <v>53</v>
      </c>
      <c r="D11" s="1096" t="s">
        <v>50</v>
      </c>
      <c r="E11" s="312">
        <f>'AWPB Yr 2'!R127</f>
        <v>0.63076923076923075</v>
      </c>
      <c r="F11" s="312">
        <f>'AWPB Yr 3'!Q126</f>
        <v>0.82499999999999996</v>
      </c>
      <c r="G11" s="312">
        <f>'AWPB Yr 4'!P130</f>
        <v>0.8045535714285712</v>
      </c>
      <c r="H11" s="312">
        <f>'AWPB Yr 5'!P130</f>
        <v>0.7162827461607949</v>
      </c>
      <c r="I11" s="303">
        <f>'AWPB Yr 6'!P130</f>
        <v>0</v>
      </c>
      <c r="K11" s="231" t="s">
        <v>46</v>
      </c>
      <c r="L11" s="230">
        <f>'Results Framework'!S89</f>
        <v>0.61840977391783847</v>
      </c>
      <c r="M11" s="99"/>
    </row>
    <row r="12" spans="2:21">
      <c r="B12" s="98"/>
      <c r="C12" s="313" t="s">
        <v>54</v>
      </c>
      <c r="D12" s="314" t="s">
        <v>50</v>
      </c>
      <c r="E12" s="314">
        <f>'AWPB Yr 2'!R181</f>
        <v>0.44867924528301883</v>
      </c>
      <c r="F12" s="314">
        <f>'AWPB Yr 3'!P166</f>
        <v>0.60714285714285721</v>
      </c>
      <c r="G12" s="314">
        <f>'AWPB Yr 4'!P172</f>
        <v>0.60109280637058415</v>
      </c>
      <c r="H12" s="314">
        <f>'AWPB Yr 5'!P168</f>
        <v>0.64847896006432615</v>
      </c>
      <c r="I12" s="315">
        <f>'AWPB Yr 6'!P172</f>
        <v>0</v>
      </c>
      <c r="K12" s="231" t="s">
        <v>47</v>
      </c>
      <c r="L12" s="230">
        <f>'Results Framework'!V89</f>
        <v>0.70274543956043956</v>
      </c>
      <c r="M12" s="99"/>
    </row>
    <row r="13" spans="2:21">
      <c r="B13" s="98"/>
      <c r="K13" s="815" t="s">
        <v>48</v>
      </c>
      <c r="L13" s="232" t="str">
        <f>'Results Framework'!Y89</f>
        <v/>
      </c>
      <c r="M13" s="99"/>
    </row>
    <row r="14" spans="2:21">
      <c r="B14" s="98"/>
      <c r="M14" s="99"/>
    </row>
    <row r="15" spans="2:21">
      <c r="B15" s="98"/>
      <c r="M15" s="99"/>
    </row>
    <row r="16" spans="2:21" ht="15" thickBot="1">
      <c r="B16" s="100"/>
      <c r="C16" s="101"/>
      <c r="D16" s="101"/>
      <c r="E16" s="101"/>
      <c r="F16" s="101"/>
      <c r="G16" s="101"/>
      <c r="H16" s="101"/>
      <c r="I16" s="101"/>
      <c r="J16" s="101"/>
      <c r="K16" s="101"/>
      <c r="L16" s="101"/>
      <c r="M16" s="102"/>
      <c r="U16" s="1099"/>
    </row>
    <row r="17" spans="21:21">
      <c r="U17" s="1099"/>
    </row>
    <row r="18" spans="21:21">
      <c r="U18" s="1099"/>
    </row>
  </sheetData>
  <mergeCells count="3">
    <mergeCell ref="C3:L3"/>
    <mergeCell ref="K6:K7"/>
    <mergeCell ref="L6:L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C00000"/>
  </sheetPr>
  <dimension ref="A1:AA144"/>
  <sheetViews>
    <sheetView topLeftCell="P1" zoomScale="68" zoomScaleNormal="90" workbookViewId="0">
      <pane ySplit="4" topLeftCell="A68" activePane="bottomLeft" state="frozen"/>
      <selection activeCell="A5" sqref="A5"/>
      <selection pane="bottomLeft" activeCell="V82" sqref="V82"/>
    </sheetView>
  </sheetViews>
  <sheetFormatPr defaultColWidth="8.7265625" defaultRowHeight="14.5"/>
  <cols>
    <col min="1" max="1" width="48.26953125" style="1" customWidth="1"/>
    <col min="2" max="2" width="37.90625" style="1" customWidth="1"/>
    <col min="3" max="3" width="46.36328125" style="1" customWidth="1"/>
    <col min="4" max="4" width="35.7265625" style="1" customWidth="1"/>
    <col min="5" max="5" width="11.7265625" style="1" customWidth="1"/>
    <col min="6" max="6" width="21.08984375" style="1" customWidth="1"/>
    <col min="7" max="7" width="14.6328125" style="1" customWidth="1"/>
    <col min="8" max="13" width="13.7265625" style="1" customWidth="1"/>
    <col min="14" max="14" width="13.36328125" style="1" customWidth="1"/>
    <col min="15" max="17" width="13.7265625" style="1" customWidth="1"/>
    <col min="18" max="18" width="14.7265625" style="1" customWidth="1"/>
    <col min="19" max="25" width="13.7265625" style="1" customWidth="1"/>
    <col min="26" max="26" width="79.36328125" style="46" customWidth="1"/>
    <col min="27" max="16384" width="8.7265625" style="1"/>
  </cols>
  <sheetData>
    <row r="1" spans="1:27" ht="34" thickBot="1">
      <c r="A1" s="47" t="s">
        <v>55</v>
      </c>
      <c r="B1" s="48"/>
      <c r="C1" s="49"/>
      <c r="D1" s="50"/>
      <c r="E1" s="50"/>
      <c r="F1" s="50"/>
      <c r="G1" s="50"/>
      <c r="H1" s="50"/>
      <c r="I1" s="50"/>
      <c r="J1" s="50"/>
      <c r="K1" s="50"/>
      <c r="L1" s="50"/>
      <c r="M1" s="50"/>
      <c r="N1" s="50"/>
      <c r="O1" s="50"/>
      <c r="P1" s="50"/>
      <c r="Q1" s="50"/>
      <c r="R1" s="50"/>
      <c r="S1" s="50"/>
      <c r="T1" s="50"/>
      <c r="U1" s="50"/>
      <c r="V1" s="50"/>
      <c r="W1" s="50"/>
      <c r="X1" s="50"/>
      <c r="Y1" s="50"/>
      <c r="Z1" s="288"/>
      <c r="AA1" s="4"/>
    </row>
    <row r="2" spans="1:27" ht="15.75" customHeight="1">
      <c r="A2" s="156" t="s">
        <v>56</v>
      </c>
      <c r="B2" s="157" t="s">
        <v>57</v>
      </c>
      <c r="C2" s="157" t="s">
        <v>58</v>
      </c>
      <c r="D2" s="157" t="s">
        <v>59</v>
      </c>
      <c r="E2" s="157" t="s">
        <v>60</v>
      </c>
      <c r="F2" s="157" t="s">
        <v>61</v>
      </c>
      <c r="G2" s="158" t="s">
        <v>62</v>
      </c>
      <c r="H2" s="817" t="s">
        <v>63</v>
      </c>
      <c r="I2" s="818"/>
      <c r="J2" s="816"/>
      <c r="K2" s="817" t="s">
        <v>64</v>
      </c>
      <c r="L2" s="818"/>
      <c r="M2" s="816"/>
      <c r="N2" s="817" t="s">
        <v>65</v>
      </c>
      <c r="O2" s="818"/>
      <c r="P2" s="816"/>
      <c r="Q2" s="817" t="s">
        <v>66</v>
      </c>
      <c r="R2" s="818"/>
      <c r="S2" s="816"/>
      <c r="T2" s="817" t="s">
        <v>67</v>
      </c>
      <c r="U2" s="818"/>
      <c r="V2" s="816"/>
      <c r="W2" s="1201" t="s">
        <v>68</v>
      </c>
      <c r="X2" s="1202"/>
      <c r="Y2" s="816"/>
      <c r="Z2" s="289" t="s">
        <v>69</v>
      </c>
    </row>
    <row r="3" spans="1:27" ht="15.5">
      <c r="A3" s="2"/>
      <c r="B3" s="3"/>
      <c r="C3" s="3"/>
      <c r="D3" s="3"/>
      <c r="E3" s="3"/>
      <c r="F3" s="3"/>
      <c r="G3" s="3"/>
      <c r="H3" s="51" t="s">
        <v>70</v>
      </c>
      <c r="I3" s="52" t="s">
        <v>71</v>
      </c>
      <c r="J3" s="53" t="s">
        <v>72</v>
      </c>
      <c r="K3" s="51" t="s">
        <v>70</v>
      </c>
      <c r="L3" s="52" t="s">
        <v>71</v>
      </c>
      <c r="M3" s="53" t="s">
        <v>72</v>
      </c>
      <c r="N3" s="51" t="s">
        <v>70</v>
      </c>
      <c r="O3" s="52" t="s">
        <v>71</v>
      </c>
      <c r="P3" s="53" t="s">
        <v>72</v>
      </c>
      <c r="Q3" s="51" t="s">
        <v>70</v>
      </c>
      <c r="R3" s="52" t="s">
        <v>71</v>
      </c>
      <c r="S3" s="53" t="s">
        <v>72</v>
      </c>
      <c r="T3" s="51" t="s">
        <v>70</v>
      </c>
      <c r="U3" s="52" t="s">
        <v>71</v>
      </c>
      <c r="V3" s="53" t="s">
        <v>72</v>
      </c>
      <c r="W3" s="51" t="s">
        <v>70</v>
      </c>
      <c r="X3" s="52" t="s">
        <v>71</v>
      </c>
      <c r="Y3" s="53" t="s">
        <v>72</v>
      </c>
      <c r="Z3" s="289"/>
    </row>
    <row r="4" spans="1:27" s="229" customFormat="1" ht="25" customHeight="1">
      <c r="A4" s="225" t="s">
        <v>73</v>
      </c>
      <c r="B4" s="226"/>
      <c r="C4" s="227"/>
      <c r="D4" s="226"/>
      <c r="E4" s="226"/>
      <c r="F4" s="226"/>
      <c r="G4" s="226"/>
      <c r="H4" s="226"/>
      <c r="I4" s="226"/>
      <c r="J4" s="226"/>
      <c r="K4" s="226"/>
      <c r="L4" s="226"/>
      <c r="M4" s="226"/>
      <c r="N4" s="226"/>
      <c r="O4" s="226"/>
      <c r="P4" s="226"/>
      <c r="Q4" s="226"/>
      <c r="R4" s="226"/>
      <c r="S4" s="226"/>
      <c r="T4" s="226"/>
      <c r="U4" s="226"/>
      <c r="V4" s="226"/>
      <c r="W4" s="226"/>
      <c r="X4" s="226"/>
      <c r="Y4" s="228"/>
      <c r="Z4" s="290"/>
    </row>
    <row r="5" spans="1:27" s="124" customFormat="1" ht="42.75" customHeight="1">
      <c r="A5" s="1206" t="s">
        <v>74</v>
      </c>
      <c r="B5" s="553" t="s">
        <v>75</v>
      </c>
      <c r="C5" s="1218" t="s">
        <v>76</v>
      </c>
      <c r="D5" s="1234" t="s">
        <v>77</v>
      </c>
      <c r="E5" s="518" t="s">
        <v>78</v>
      </c>
      <c r="F5" s="196" t="s">
        <v>4</v>
      </c>
      <c r="G5" s="653">
        <f>G6+G7+G8</f>
        <v>0</v>
      </c>
      <c r="H5" s="654"/>
      <c r="I5" s="662"/>
      <c r="J5" s="215" t="str">
        <f>IFERROR(AVERAGE(J6:J8),"")</f>
        <v/>
      </c>
      <c r="K5" s="654">
        <f>K6+K7+K8</f>
        <v>0</v>
      </c>
      <c r="L5" s="662">
        <f>L6+L7+L8</f>
        <v>72.5</v>
      </c>
      <c r="M5" s="215" t="str">
        <f>IFERROR(AVERAGE(M6:M8),"")</f>
        <v/>
      </c>
      <c r="N5" s="216">
        <f t="shared" ref="N5" si="0">N6+N7+N8</f>
        <v>350</v>
      </c>
      <c r="O5" s="662">
        <f t="shared" ref="O5:R5" si="1">O6+O7+O8</f>
        <v>336.79999999999995</v>
      </c>
      <c r="P5" s="215">
        <f>IFERROR(AVERAGE(P6:P8),"")</f>
        <v>0.71566666666666678</v>
      </c>
      <c r="Q5" s="216">
        <f t="shared" si="1"/>
        <v>1200</v>
      </c>
      <c r="R5" s="662">
        <f t="shared" si="1"/>
        <v>1122.5999999999999</v>
      </c>
      <c r="S5" s="215">
        <f>IFERROR(AVERAGE(S6:S8),"")</f>
        <v>0.64200000000000002</v>
      </c>
      <c r="T5" s="216">
        <f t="shared" ref="T5:U5" si="2">T6+T7+T8</f>
        <v>2350</v>
      </c>
      <c r="U5" s="662">
        <f t="shared" si="2"/>
        <v>2011.16</v>
      </c>
      <c r="V5" s="215">
        <f>IFERROR(AVERAGE(V6:V8),"")</f>
        <v>0.82237499999999997</v>
      </c>
      <c r="W5" s="216">
        <f t="shared" ref="W5:X5" si="3">W6+W7+W8</f>
        <v>4050</v>
      </c>
      <c r="X5" s="662">
        <f t="shared" si="3"/>
        <v>0</v>
      </c>
      <c r="Y5" s="215">
        <f>IFERROR(AVERAGE(Y6:Y8),"")</f>
        <v>0</v>
      </c>
      <c r="Z5" s="1227" t="s">
        <v>79</v>
      </c>
    </row>
    <row r="6" spans="1:27" s="124" customFormat="1" ht="53.25" customHeight="1">
      <c r="A6" s="1207"/>
      <c r="B6" s="554" t="s">
        <v>80</v>
      </c>
      <c r="C6" s="1219"/>
      <c r="D6" s="1235"/>
      <c r="E6" s="519" t="s">
        <v>78</v>
      </c>
      <c r="F6" s="646" t="s">
        <v>81</v>
      </c>
      <c r="G6" s="1100">
        <v>0</v>
      </c>
      <c r="H6" s="515"/>
      <c r="I6" s="663"/>
      <c r="J6" s="213" t="str">
        <f t="shared" ref="J6:J8" si="4">IF(H6,MIN(1,I6/H6),"")</f>
        <v/>
      </c>
      <c r="K6" s="515">
        <v>0</v>
      </c>
      <c r="L6" s="663">
        <v>9.6</v>
      </c>
      <c r="M6" s="213" t="str">
        <f t="shared" ref="M6:M8" si="5">IF(K6,MIN(1,L6/K6),"")</f>
        <v/>
      </c>
      <c r="N6" s="521">
        <v>50</v>
      </c>
      <c r="O6" s="663">
        <v>9.6</v>
      </c>
      <c r="P6" s="213">
        <f t="shared" ref="P6:P8" si="6">IF(N6,MIN(1,O6/N6),"")</f>
        <v>0.192</v>
      </c>
      <c r="Q6" s="521">
        <v>100</v>
      </c>
      <c r="R6" s="663">
        <v>9.6</v>
      </c>
      <c r="S6" s="213">
        <f t="shared" ref="S6:S8" si="7">IF(Q6,MIN(1,R6/Q6),"")</f>
        <v>9.6000000000000002E-2</v>
      </c>
      <c r="T6" s="521">
        <v>150</v>
      </c>
      <c r="U6" s="663">
        <f>R6+113.58</f>
        <v>123.17999999999999</v>
      </c>
      <c r="V6" s="213">
        <f>IF(T6,MIN(1,U6/T6),"")</f>
        <v>0.82119999999999993</v>
      </c>
      <c r="W6" s="521">
        <v>150</v>
      </c>
      <c r="X6" s="663"/>
      <c r="Y6" s="213">
        <f t="shared" ref="Y6:Y8" si="8">IF(W6,MIN(1,X6/W6),"")</f>
        <v>0</v>
      </c>
      <c r="Z6" s="1228"/>
    </row>
    <row r="7" spans="1:27" s="124" customFormat="1" ht="48">
      <c r="A7" s="1207"/>
      <c r="B7" s="555" t="s">
        <v>82</v>
      </c>
      <c r="C7" s="1219"/>
      <c r="D7" s="510" t="s">
        <v>83</v>
      </c>
      <c r="E7" s="519" t="s">
        <v>78</v>
      </c>
      <c r="F7" s="647" t="s">
        <v>84</v>
      </c>
      <c r="G7" s="1100">
        <v>0</v>
      </c>
      <c r="H7" s="515"/>
      <c r="I7" s="663"/>
      <c r="J7" s="213" t="str">
        <f t="shared" si="4"/>
        <v/>
      </c>
      <c r="K7" s="515">
        <v>0</v>
      </c>
      <c r="L7" s="663">
        <v>0</v>
      </c>
      <c r="M7" s="213" t="str">
        <f t="shared" si="5"/>
        <v/>
      </c>
      <c r="N7" s="521">
        <v>200</v>
      </c>
      <c r="O7" s="663">
        <v>191</v>
      </c>
      <c r="P7" s="213">
        <f t="shared" si="6"/>
        <v>0.95499999999999996</v>
      </c>
      <c r="Q7" s="521">
        <v>800</v>
      </c>
      <c r="R7" s="663">
        <v>664</v>
      </c>
      <c r="S7" s="213">
        <f t="shared" si="7"/>
        <v>0.83</v>
      </c>
      <c r="T7" s="521">
        <v>1600</v>
      </c>
      <c r="U7" s="663">
        <f>R7+369.48</f>
        <v>1033.48</v>
      </c>
      <c r="V7" s="213">
        <f>IF(T7,MIN(1,U7/T7),"")</f>
        <v>0.64592499999999997</v>
      </c>
      <c r="W7" s="521">
        <v>2900</v>
      </c>
      <c r="X7" s="663"/>
      <c r="Y7" s="213">
        <f t="shared" si="8"/>
        <v>0</v>
      </c>
      <c r="Z7" s="1228"/>
    </row>
    <row r="8" spans="1:27" s="124" customFormat="1" ht="57.75" customHeight="1" thickBot="1">
      <c r="A8" s="1207"/>
      <c r="B8" s="556" t="s">
        <v>85</v>
      </c>
      <c r="C8" s="1220"/>
      <c r="D8" s="512" t="s">
        <v>86</v>
      </c>
      <c r="E8" s="520" t="s">
        <v>78</v>
      </c>
      <c r="F8" s="648" t="s">
        <v>87</v>
      </c>
      <c r="G8" s="1101">
        <v>0</v>
      </c>
      <c r="H8" s="516"/>
      <c r="I8" s="664"/>
      <c r="J8" s="513" t="str">
        <f t="shared" si="4"/>
        <v/>
      </c>
      <c r="K8" s="516">
        <v>0</v>
      </c>
      <c r="L8" s="664">
        <v>62.9</v>
      </c>
      <c r="M8" s="513" t="str">
        <f t="shared" si="5"/>
        <v/>
      </c>
      <c r="N8" s="522">
        <v>100</v>
      </c>
      <c r="O8" s="664">
        <v>136.19999999999999</v>
      </c>
      <c r="P8" s="513">
        <f t="shared" si="6"/>
        <v>1</v>
      </c>
      <c r="Q8" s="522">
        <v>300</v>
      </c>
      <c r="R8" s="664">
        <v>449</v>
      </c>
      <c r="S8" s="513">
        <f t="shared" si="7"/>
        <v>1</v>
      </c>
      <c r="T8" s="522">
        <v>600</v>
      </c>
      <c r="U8" s="664">
        <f>R8+405.5</f>
        <v>854.5</v>
      </c>
      <c r="V8" s="513">
        <f t="shared" ref="V8" si="9">IF(T8,MIN(1,U8/T8),"")</f>
        <v>1</v>
      </c>
      <c r="W8" s="522">
        <v>1000</v>
      </c>
      <c r="X8" s="664"/>
      <c r="Y8" s="513">
        <f t="shared" si="8"/>
        <v>0</v>
      </c>
      <c r="Z8" s="1229"/>
    </row>
    <row r="9" spans="1:27" s="124" customFormat="1" ht="57" customHeight="1" thickTop="1">
      <c r="A9" s="1207"/>
      <c r="B9" s="557" t="s">
        <v>88</v>
      </c>
      <c r="C9" s="523" t="s">
        <v>89</v>
      </c>
      <c r="D9" s="1236" t="s">
        <v>90</v>
      </c>
      <c r="E9" s="1237" t="s">
        <v>91</v>
      </c>
      <c r="F9" s="524"/>
      <c r="G9" s="652">
        <f>G10+G11</f>
        <v>0</v>
      </c>
      <c r="H9" s="641">
        <f t="shared" ref="H9:I9" si="10">H10+H11</f>
        <v>0</v>
      </c>
      <c r="I9" s="642">
        <f t="shared" si="10"/>
        <v>0</v>
      </c>
      <c r="J9" s="525" t="str">
        <f>IFERROR(AVERAGE(J10:J11),"")</f>
        <v/>
      </c>
      <c r="K9" s="641">
        <f t="shared" ref="K9:L9" si="11">K10+K11</f>
        <v>0</v>
      </c>
      <c r="L9" s="642">
        <f t="shared" si="11"/>
        <v>0</v>
      </c>
      <c r="M9" s="525" t="str">
        <f>IFERROR(AVERAGE(M10:M11),"")</f>
        <v/>
      </c>
      <c r="N9" s="641">
        <f t="shared" ref="N9" si="12">N10+N11</f>
        <v>500</v>
      </c>
      <c r="O9" s="642">
        <f>O10+O11</f>
        <v>129.18</v>
      </c>
      <c r="P9" s="525">
        <f>IFERROR(AVERAGE(P10:P11),"")</f>
        <v>0.25836000000000003</v>
      </c>
      <c r="Q9" s="641">
        <f t="shared" ref="Q9:R9" si="13">Q10+Q11</f>
        <v>2000</v>
      </c>
      <c r="R9" s="642">
        <f t="shared" si="13"/>
        <v>1619</v>
      </c>
      <c r="S9" s="525">
        <f>IFERROR(AVERAGE(S10:S11),"")</f>
        <v>0.8095</v>
      </c>
      <c r="T9" s="641">
        <f t="shared" ref="T9:U9" si="14">T10+T11</f>
        <v>3000</v>
      </c>
      <c r="U9" s="642">
        <f t="shared" si="14"/>
        <v>3056.25</v>
      </c>
      <c r="V9" s="525">
        <f>IFERROR(AVERAGE(V10:V11),"")</f>
        <v>1</v>
      </c>
      <c r="W9" s="641">
        <f t="shared" ref="W9:X9" si="15">W10+W11</f>
        <v>233500</v>
      </c>
      <c r="X9" s="642">
        <f t="shared" si="15"/>
        <v>0</v>
      </c>
      <c r="Y9" s="525">
        <f>IFERROR(AVERAGE(Y10:Y11),"")</f>
        <v>0</v>
      </c>
      <c r="Z9" s="1232" t="s">
        <v>92</v>
      </c>
    </row>
    <row r="10" spans="1:27" s="124" customFormat="1" ht="60.75" customHeight="1">
      <c r="A10" s="1207"/>
      <c r="B10" s="558" t="s">
        <v>93</v>
      </c>
      <c r="C10" s="195" t="s">
        <v>94</v>
      </c>
      <c r="D10" s="1219"/>
      <c r="E10" s="1231"/>
      <c r="F10" s="198"/>
      <c r="G10" s="560">
        <v>0</v>
      </c>
      <c r="H10" s="649">
        <v>0</v>
      </c>
      <c r="I10" s="650"/>
      <c r="J10" s="651" t="str">
        <f t="shared" ref="J10:J12" si="16">IF(H10,MIN(1,I10/H10),"")</f>
        <v/>
      </c>
      <c r="K10" s="649">
        <v>0</v>
      </c>
      <c r="L10" s="650"/>
      <c r="M10" s="651" t="str">
        <f t="shared" ref="M10:M12" si="17">IF(K10,MIN(1,L10/K10),"")</f>
        <v/>
      </c>
      <c r="N10" s="649"/>
      <c r="O10" s="650"/>
      <c r="P10" s="651" t="str">
        <f t="shared" ref="P10:P11" si="18">IF(N10,MIN(1,O10/N10),"")</f>
        <v/>
      </c>
      <c r="Q10" s="649">
        <v>0</v>
      </c>
      <c r="R10" s="650"/>
      <c r="S10" s="651" t="str">
        <f t="shared" ref="S10:S11" si="19">IF(Q10,MIN(1,R10/Q10),"")</f>
        <v/>
      </c>
      <c r="T10" s="649">
        <v>0</v>
      </c>
      <c r="U10" s="650"/>
      <c r="V10" s="651" t="str">
        <f t="shared" ref="V10:V11" si="20">IF(T10,MIN(1,U10/T10),"")</f>
        <v/>
      </c>
      <c r="W10" s="649">
        <v>229500</v>
      </c>
      <c r="X10" s="650"/>
      <c r="Y10" s="651">
        <f t="shared" ref="Y10:Y11" si="21">IF(W10,MIN(1,X10/W10),"")</f>
        <v>0</v>
      </c>
      <c r="Z10" s="1233"/>
    </row>
    <row r="11" spans="1:27" s="124" customFormat="1" ht="74.25" customHeight="1">
      <c r="A11" s="1207"/>
      <c r="B11" s="895" t="s">
        <v>95</v>
      </c>
      <c r="C11" s="195" t="s">
        <v>96</v>
      </c>
      <c r="D11" s="1219"/>
      <c r="E11" s="1231"/>
      <c r="F11" s="198"/>
      <c r="G11" s="560">
        <v>0</v>
      </c>
      <c r="H11" s="643">
        <v>0</v>
      </c>
      <c r="I11" s="644"/>
      <c r="J11" s="645" t="str">
        <f t="shared" si="16"/>
        <v/>
      </c>
      <c r="K11" s="643">
        <v>0</v>
      </c>
      <c r="L11" s="644"/>
      <c r="M11" s="645" t="str">
        <f t="shared" si="17"/>
        <v/>
      </c>
      <c r="N11" s="643">
        <v>500</v>
      </c>
      <c r="O11" s="644">
        <f>39.52+89.66</f>
        <v>129.18</v>
      </c>
      <c r="P11" s="645">
        <f t="shared" si="18"/>
        <v>0.25836000000000003</v>
      </c>
      <c r="Q11" s="643">
        <v>2000</v>
      </c>
      <c r="R11" s="644">
        <v>1619</v>
      </c>
      <c r="S11" s="645">
        <f t="shared" si="19"/>
        <v>0.8095</v>
      </c>
      <c r="T11" s="643">
        <v>3000</v>
      </c>
      <c r="U11" s="644">
        <f>R11+1437.25</f>
        <v>3056.25</v>
      </c>
      <c r="V11" s="645">
        <f t="shared" si="20"/>
        <v>1</v>
      </c>
      <c r="W11" s="643">
        <v>4000</v>
      </c>
      <c r="X11" s="644"/>
      <c r="Y11" s="645">
        <f t="shared" si="21"/>
        <v>0</v>
      </c>
      <c r="Z11" s="1233"/>
    </row>
    <row r="12" spans="1:27" s="124" customFormat="1" ht="135" customHeight="1">
      <c r="A12" s="1207"/>
      <c r="B12" s="896" t="s">
        <v>97</v>
      </c>
      <c r="C12" s="526" t="s">
        <v>98</v>
      </c>
      <c r="D12" s="527" t="s">
        <v>99</v>
      </c>
      <c r="E12" s="528" t="s">
        <v>100</v>
      </c>
      <c r="F12" s="527" t="s">
        <v>101</v>
      </c>
      <c r="G12" s="529">
        <v>0</v>
      </c>
      <c r="H12" s="530">
        <v>0</v>
      </c>
      <c r="I12" s="665"/>
      <c r="J12" s="531" t="str">
        <f t="shared" si="16"/>
        <v/>
      </c>
      <c r="K12" s="530">
        <v>0</v>
      </c>
      <c r="L12" s="665"/>
      <c r="M12" s="531" t="str">
        <f t="shared" si="17"/>
        <v/>
      </c>
      <c r="N12" s="532"/>
      <c r="O12" s="665"/>
      <c r="P12" s="531" t="str">
        <f t="shared" ref="P12:P14" si="22">IF(N12,MIN(1,O12/N12),"")</f>
        <v/>
      </c>
      <c r="Q12" s="532">
        <v>500000</v>
      </c>
      <c r="R12" s="665">
        <v>500955</v>
      </c>
      <c r="S12" s="531">
        <f t="shared" ref="S12:S14" si="23">IF(Q12,MIN(1,R12/Q12),"")</f>
        <v>1</v>
      </c>
      <c r="T12" s="532"/>
      <c r="U12" s="665"/>
      <c r="V12" s="531" t="str">
        <f t="shared" ref="V12:V14" si="24">IF(T12,MIN(1,U12/T12),"")</f>
        <v/>
      </c>
      <c r="W12" s="532">
        <v>1270919</v>
      </c>
      <c r="X12" s="665"/>
      <c r="Y12" s="531">
        <f t="shared" ref="Y12:Y14" si="25">IF(W12,MIN(1,X12/W12),"")</f>
        <v>0</v>
      </c>
      <c r="Z12" s="1102" t="s">
        <v>102</v>
      </c>
    </row>
    <row r="13" spans="1:27" s="124" customFormat="1" ht="30.65" customHeight="1" thickTop="1">
      <c r="A13" s="1207"/>
      <c r="B13" s="1209" t="s">
        <v>103</v>
      </c>
      <c r="C13" s="1230" t="s">
        <v>104</v>
      </c>
      <c r="D13" s="1230" t="s">
        <v>105</v>
      </c>
      <c r="E13" s="1231" t="s">
        <v>106</v>
      </c>
      <c r="F13" s="198" t="s">
        <v>107</v>
      </c>
      <c r="G13" s="199">
        <v>0</v>
      </c>
      <c r="H13" s="534">
        <v>847</v>
      </c>
      <c r="I13" s="666">
        <v>305</v>
      </c>
      <c r="J13" s="533">
        <v>1</v>
      </c>
      <c r="K13" s="534">
        <v>847</v>
      </c>
      <c r="L13" s="666">
        <v>305</v>
      </c>
      <c r="M13" s="533">
        <v>1</v>
      </c>
      <c r="N13" s="534">
        <v>2895</v>
      </c>
      <c r="O13" s="666">
        <v>4800</v>
      </c>
      <c r="P13" s="533">
        <f t="shared" si="22"/>
        <v>1</v>
      </c>
      <c r="Q13" s="534">
        <v>3793</v>
      </c>
      <c r="R13" s="666">
        <v>6197</v>
      </c>
      <c r="S13" s="533">
        <f t="shared" si="23"/>
        <v>1</v>
      </c>
      <c r="T13" s="534">
        <v>4141</v>
      </c>
      <c r="U13" s="666">
        <v>7345</v>
      </c>
      <c r="V13" s="533">
        <f t="shared" si="24"/>
        <v>1</v>
      </c>
      <c r="W13" s="534">
        <v>3193</v>
      </c>
      <c r="X13" s="666"/>
      <c r="Y13" s="533">
        <f t="shared" si="25"/>
        <v>0</v>
      </c>
      <c r="Z13" s="291"/>
    </row>
    <row r="14" spans="1:27" s="124" customFormat="1" ht="32.25" customHeight="1">
      <c r="A14" s="1207"/>
      <c r="B14" s="1210"/>
      <c r="C14" s="1230"/>
      <c r="D14" s="1230"/>
      <c r="E14" s="1231"/>
      <c r="F14" s="198" t="s">
        <v>108</v>
      </c>
      <c r="G14" s="199">
        <v>0</v>
      </c>
      <c r="H14" s="535">
        <v>848</v>
      </c>
      <c r="I14" s="563">
        <v>2433</v>
      </c>
      <c r="J14" s="197">
        <f t="shared" ref="J14" si="26">IF(H14,MIN(1,I14/H14),"")</f>
        <v>1</v>
      </c>
      <c r="K14" s="535">
        <v>848</v>
      </c>
      <c r="L14" s="563">
        <v>2433</v>
      </c>
      <c r="M14" s="197">
        <f t="shared" ref="M14" si="27">IF(K14,MIN(1,L14/K14),"")</f>
        <v>1</v>
      </c>
      <c r="N14" s="535">
        <v>2895</v>
      </c>
      <c r="O14" s="563">
        <v>4809</v>
      </c>
      <c r="P14" s="197">
        <f t="shared" si="22"/>
        <v>1</v>
      </c>
      <c r="Q14" s="535">
        <v>3793</v>
      </c>
      <c r="R14" s="563">
        <v>6241</v>
      </c>
      <c r="S14" s="197">
        <f t="shared" si="23"/>
        <v>1</v>
      </c>
      <c r="T14" s="535">
        <v>4141</v>
      </c>
      <c r="U14" s="563">
        <v>6944</v>
      </c>
      <c r="V14" s="197">
        <f t="shared" si="24"/>
        <v>1</v>
      </c>
      <c r="W14" s="535">
        <v>3194</v>
      </c>
      <c r="X14" s="563"/>
      <c r="Y14" s="197">
        <f t="shared" si="25"/>
        <v>0</v>
      </c>
      <c r="Z14" s="291"/>
    </row>
    <row r="15" spans="1:27" s="124" customFormat="1" ht="27" customHeight="1">
      <c r="A15" s="1207"/>
      <c r="B15" s="1210"/>
      <c r="C15" s="1230"/>
      <c r="D15" s="1230"/>
      <c r="E15" s="1231"/>
      <c r="F15" s="551" t="s">
        <v>4</v>
      </c>
      <c r="G15" s="549">
        <f>SUM(G13:G14)</f>
        <v>0</v>
      </c>
      <c r="H15" s="216">
        <f>SUM(H13:H14)</f>
        <v>1695</v>
      </c>
      <c r="I15" s="619">
        <f>SUM(I13:I14)</f>
        <v>2738</v>
      </c>
      <c r="J15" s="215">
        <f>IFERROR(AVERAGE(J13:J14),"")</f>
        <v>1</v>
      </c>
      <c r="K15" s="216">
        <f>SUM(K13:K14)</f>
        <v>1695</v>
      </c>
      <c r="L15" s="619">
        <f>SUM(L13:L14)</f>
        <v>2738</v>
      </c>
      <c r="M15" s="215">
        <f>IFERROR(AVERAGE(M13:M14),"")</f>
        <v>1</v>
      </c>
      <c r="N15" s="216">
        <f>SUM(N13:N14)</f>
        <v>5790</v>
      </c>
      <c r="O15" s="619">
        <f>SUM(O13:O14)</f>
        <v>9609</v>
      </c>
      <c r="P15" s="215">
        <f>IFERROR(AVERAGE(P13:P14),"")</f>
        <v>1</v>
      </c>
      <c r="Q15" s="216">
        <f>SUM(Q13:Q14)</f>
        <v>7586</v>
      </c>
      <c r="R15" s="619">
        <f>SUM(R13:R14)</f>
        <v>12438</v>
      </c>
      <c r="S15" s="215">
        <f>IFERROR(AVERAGE(S13:S14),"")</f>
        <v>1</v>
      </c>
      <c r="T15" s="216">
        <f>SUM(T13:T14)</f>
        <v>8282</v>
      </c>
      <c r="U15" s="619">
        <f>SUM(U13:U14)</f>
        <v>14289</v>
      </c>
      <c r="V15" s="215">
        <f>IFERROR(AVERAGE(V13:V14),"")</f>
        <v>1</v>
      </c>
      <c r="W15" s="216">
        <f>SUM(W13:W14)</f>
        <v>6387</v>
      </c>
      <c r="X15" s="619"/>
      <c r="Y15" s="215">
        <f>IFERROR(AVERAGE(Y13:Y14),"")</f>
        <v>0</v>
      </c>
      <c r="Z15" s="291"/>
    </row>
    <row r="16" spans="1:27" s="124" customFormat="1" ht="30.65" customHeight="1">
      <c r="A16" s="1207"/>
      <c r="B16" s="1210"/>
      <c r="C16" s="1230" t="s">
        <v>109</v>
      </c>
      <c r="D16" s="1230" t="s">
        <v>110</v>
      </c>
      <c r="E16" s="1231" t="s">
        <v>106</v>
      </c>
      <c r="F16" s="198" t="s">
        <v>107</v>
      </c>
      <c r="G16" s="199">
        <v>0</v>
      </c>
      <c r="H16" s="757">
        <v>30</v>
      </c>
      <c r="I16" s="548"/>
      <c r="J16" s="538">
        <f t="shared" ref="J16:J17" si="28">IF(H16,MIN(1,I16/H16),"")</f>
        <v>0</v>
      </c>
      <c r="K16" s="757">
        <v>30</v>
      </c>
      <c r="L16" s="548"/>
      <c r="M16" s="538">
        <f t="shared" ref="M16:M17" si="29">IF(K16,MIN(1,L16/K16),"")</f>
        <v>0</v>
      </c>
      <c r="N16" s="690">
        <v>38.799999999999997</v>
      </c>
      <c r="O16" s="548">
        <v>33</v>
      </c>
      <c r="P16" s="538">
        <f>IF(N16,MIN(1,O16/N16),"")</f>
        <v>0.85051546391752586</v>
      </c>
      <c r="Q16" s="690">
        <v>40</v>
      </c>
      <c r="R16" s="548">
        <v>61</v>
      </c>
      <c r="S16" s="538">
        <f t="shared" ref="S16:S17" si="30">IF(Q16,MIN(1,R16/Q16),"")</f>
        <v>1</v>
      </c>
      <c r="T16" s="536">
        <v>37</v>
      </c>
      <c r="U16" s="548">
        <v>47</v>
      </c>
      <c r="V16" s="538">
        <f t="shared" ref="V16:V17" si="31">IF(T16,MIN(1,U16/T16),"")</f>
        <v>1</v>
      </c>
      <c r="W16" s="536">
        <v>66</v>
      </c>
      <c r="X16" s="548"/>
      <c r="Y16" s="538">
        <f t="shared" ref="Y16:Y17" si="32">IF(W16,MIN(1,X16/W16),"")</f>
        <v>0</v>
      </c>
      <c r="Z16" s="291"/>
    </row>
    <row r="17" spans="1:26" s="124" customFormat="1" ht="27.75" customHeight="1">
      <c r="A17" s="1207"/>
      <c r="B17" s="1210"/>
      <c r="C17" s="1230"/>
      <c r="D17" s="1230"/>
      <c r="E17" s="1231"/>
      <c r="F17" s="198" t="s">
        <v>108</v>
      </c>
      <c r="G17" s="199">
        <v>0</v>
      </c>
      <c r="H17" s="535">
        <v>268</v>
      </c>
      <c r="I17" s="563"/>
      <c r="J17" s="197">
        <f t="shared" si="28"/>
        <v>0</v>
      </c>
      <c r="K17" s="535">
        <v>268</v>
      </c>
      <c r="L17" s="563"/>
      <c r="M17" s="197">
        <f t="shared" si="29"/>
        <v>0</v>
      </c>
      <c r="N17" s="689">
        <f>388-39</f>
        <v>349</v>
      </c>
      <c r="O17" s="563">
        <v>271</v>
      </c>
      <c r="P17" s="197">
        <f>IF(N17,MIN(1,O17/N17),"")</f>
        <v>0.77650429799426934</v>
      </c>
      <c r="Q17" s="689">
        <v>365</v>
      </c>
      <c r="R17" s="563">
        <v>424</v>
      </c>
      <c r="S17" s="197">
        <f t="shared" si="30"/>
        <v>1</v>
      </c>
      <c r="T17" s="535">
        <v>268</v>
      </c>
      <c r="U17" s="563">
        <v>454</v>
      </c>
      <c r="V17" s="197">
        <f t="shared" si="31"/>
        <v>1</v>
      </c>
      <c r="W17" s="535">
        <v>154</v>
      </c>
      <c r="X17" s="563"/>
      <c r="Y17" s="197">
        <f t="shared" si="32"/>
        <v>0</v>
      </c>
      <c r="Z17" s="291"/>
    </row>
    <row r="18" spans="1:26" s="124" customFormat="1" ht="27.75" customHeight="1">
      <c r="A18" s="1207"/>
      <c r="B18" s="1210"/>
      <c r="C18" s="1230"/>
      <c r="D18" s="1230"/>
      <c r="E18" s="1231"/>
      <c r="F18" s="551" t="s">
        <v>4</v>
      </c>
      <c r="G18" s="549"/>
      <c r="H18" s="539">
        <f>SUM(H16:H17)</f>
        <v>298</v>
      </c>
      <c r="I18" s="618">
        <v>422</v>
      </c>
      <c r="J18" s="511">
        <f>IFERROR(AVERAGE(J16:J17),"")</f>
        <v>0</v>
      </c>
      <c r="K18" s="539">
        <f>SUM(K16:K17)</f>
        <v>298</v>
      </c>
      <c r="L18" s="618">
        <v>422</v>
      </c>
      <c r="M18" s="511">
        <f>IFERROR(AVERAGE(M16:M17),"")</f>
        <v>0</v>
      </c>
      <c r="N18" s="539">
        <f>SUM(N16:N17)</f>
        <v>387.8</v>
      </c>
      <c r="O18" s="618">
        <f>SUM(O16:O17)</f>
        <v>304</v>
      </c>
      <c r="P18" s="511">
        <f>IFERROR(AVERAGE(P16:P17),"")</f>
        <v>0.8135098809558976</v>
      </c>
      <c r="Q18" s="539">
        <f>SUM(Q16:Q17)</f>
        <v>405</v>
      </c>
      <c r="R18" s="618">
        <f>SUM(R16:R17)</f>
        <v>485</v>
      </c>
      <c r="S18" s="511">
        <f>IFERROR(AVERAGE(S16:S17),"")</f>
        <v>1</v>
      </c>
      <c r="T18" s="539">
        <f>SUM(T16:T17)</f>
        <v>305</v>
      </c>
      <c r="U18" s="618">
        <f>SUM(U16:U17)</f>
        <v>501</v>
      </c>
      <c r="V18" s="511">
        <f>IFERROR(AVERAGE(V16:V17),"")</f>
        <v>1</v>
      </c>
      <c r="W18" s="539">
        <f>SUM(W16:W17)</f>
        <v>220</v>
      </c>
      <c r="X18" s="618">
        <f>SUM(X16:X17)</f>
        <v>0</v>
      </c>
      <c r="Y18" s="511">
        <f>IFERROR(AVERAGE(Y16:Y17),"")</f>
        <v>0</v>
      </c>
      <c r="Z18" s="291"/>
    </row>
    <row r="19" spans="1:26" s="124" customFormat="1" ht="25.5" customHeight="1">
      <c r="A19" s="1207"/>
      <c r="B19" s="1210"/>
      <c r="C19" s="1230"/>
      <c r="D19" s="1230"/>
      <c r="E19" s="1231"/>
      <c r="F19" s="552" t="s">
        <v>111</v>
      </c>
      <c r="G19" s="550">
        <f>SUM(G16:G17)</f>
        <v>0</v>
      </c>
      <c r="H19" s="517">
        <f>H15+H18</f>
        <v>1993</v>
      </c>
      <c r="I19" s="667">
        <f>I15+I18</f>
        <v>3160</v>
      </c>
      <c r="J19" s="661">
        <f>IFERROR(AVERAGE(J13:J14,J16:J17),"")</f>
        <v>0.5</v>
      </c>
      <c r="K19" s="517">
        <f>K15+K18</f>
        <v>1993</v>
      </c>
      <c r="L19" s="667">
        <f>L15+L18</f>
        <v>3160</v>
      </c>
      <c r="M19" s="661">
        <f>IFERROR(AVERAGE(M13:M14,M16:M17),"")</f>
        <v>0.5</v>
      </c>
      <c r="N19" s="517">
        <f>N15+N18</f>
        <v>6177.8</v>
      </c>
      <c r="O19" s="667">
        <f>O15+O18</f>
        <v>9913</v>
      </c>
      <c r="P19" s="661">
        <f>IFERROR(AVERAGE(P13:P14,P16:P17),"")</f>
        <v>0.9067549404779488</v>
      </c>
      <c r="Q19" s="517">
        <f>Q15+Q18</f>
        <v>7991</v>
      </c>
      <c r="R19" s="667">
        <f>R15+R18</f>
        <v>12923</v>
      </c>
      <c r="S19" s="661">
        <f>IFERROR(AVERAGE(S13:S14,S16:S17),"")</f>
        <v>1</v>
      </c>
      <c r="T19" s="517">
        <f>T15+T18</f>
        <v>8587</v>
      </c>
      <c r="U19" s="667">
        <f>U15+U18</f>
        <v>14790</v>
      </c>
      <c r="V19" s="661">
        <f>IFERROR(AVERAGE(V13:V14,V16:V17),"")</f>
        <v>1</v>
      </c>
      <c r="W19" s="517">
        <f>W15+W18</f>
        <v>6607</v>
      </c>
      <c r="X19" s="667">
        <f>X15+X18</f>
        <v>0</v>
      </c>
      <c r="Y19" s="661">
        <f>IFERROR(AVERAGE(Y13:Y14,Y16:Y17),"")</f>
        <v>0</v>
      </c>
      <c r="Z19" s="291"/>
    </row>
    <row r="20" spans="1:26" s="124" customFormat="1" ht="46" customHeight="1">
      <c r="A20" s="1208"/>
      <c r="B20" s="1211"/>
      <c r="C20" s="714"/>
      <c r="D20" s="714"/>
      <c r="E20" s="715"/>
      <c r="F20" s="1204" t="s">
        <v>112</v>
      </c>
      <c r="G20" s="1205"/>
      <c r="H20" s="755"/>
      <c r="I20" s="756"/>
      <c r="J20" s="706">
        <f>IFERROR(AVERAGE(J13,J15,J16,J18),"")</f>
        <v>0.5</v>
      </c>
      <c r="K20" s="755"/>
      <c r="L20" s="756"/>
      <c r="M20" s="706">
        <f>IFERROR(AVERAGE(M13,M15,M16,M18),"")</f>
        <v>0.5</v>
      </c>
      <c r="N20" s="755"/>
      <c r="O20" s="756"/>
      <c r="P20" s="706">
        <f>IFERROR(AVERAGE(P13,P15,P16,P18),"")</f>
        <v>0.91600633621835592</v>
      </c>
      <c r="Q20" s="755"/>
      <c r="R20" s="756"/>
      <c r="S20" s="706">
        <f>IFERROR(AVERAGE(S13,S15,S16,S18),"")</f>
        <v>1</v>
      </c>
      <c r="T20" s="755"/>
      <c r="U20" s="756"/>
      <c r="V20" s="706">
        <f>IFERROR(AVERAGE(V13,V15,V16,V18),"")</f>
        <v>1</v>
      </c>
      <c r="W20" s="755"/>
      <c r="X20" s="756"/>
      <c r="Y20" s="706">
        <f>IFERROR(AVERAGE(Y13,Y15,Y16,Y18),"")</f>
        <v>0</v>
      </c>
      <c r="Z20" s="291"/>
    </row>
    <row r="21" spans="1:26" s="124" customFormat="1" ht="25" customHeight="1">
      <c r="A21" s="1215" t="s">
        <v>113</v>
      </c>
      <c r="B21" s="1216"/>
      <c r="C21" s="1216"/>
      <c r="D21" s="1216"/>
      <c r="E21" s="1216"/>
      <c r="F21" s="1216"/>
      <c r="G21" s="1216"/>
      <c r="H21" s="201"/>
      <c r="I21" s="202"/>
      <c r="J21" s="203">
        <f>IFERROR(AVERAGE(J6:J8,J10:J12,J13:J14,J16:J17),"")</f>
        <v>0.5</v>
      </c>
      <c r="K21" s="201"/>
      <c r="L21" s="202"/>
      <c r="M21" s="203">
        <f>IFERROR(AVERAGE(M6:M8,M10:M12,M13:M14,M16:M17),"")</f>
        <v>0.5</v>
      </c>
      <c r="N21" s="204"/>
      <c r="O21" s="202"/>
      <c r="P21" s="203">
        <f>IFERROR(AVERAGE(P6:P8,P10:P12,P20),"")</f>
        <v>0.66427326724367131</v>
      </c>
      <c r="Q21" s="201"/>
      <c r="R21" s="205"/>
      <c r="S21" s="203">
        <f>IFERROR(AVERAGE(S6:S8,S10:S12,S20),"")</f>
        <v>0.78925000000000001</v>
      </c>
      <c r="T21" s="201"/>
      <c r="U21" s="205"/>
      <c r="V21" s="203">
        <f>IFERROR(AVERAGE(V6:V8,V10:V12,V20),"")</f>
        <v>0.89342499999999991</v>
      </c>
      <c r="W21" s="201"/>
      <c r="X21" s="205"/>
      <c r="Y21" s="203">
        <f>IFERROR(AVERAGE(Y6:Y8,Y10:Y12,Y20),"")</f>
        <v>0</v>
      </c>
      <c r="Z21" s="292"/>
    </row>
    <row r="22" spans="1:26" s="124" customFormat="1" ht="23.5" customHeight="1">
      <c r="A22" s="540" t="s">
        <v>114</v>
      </c>
      <c r="B22" s="541"/>
      <c r="C22" s="541"/>
      <c r="D22" s="541"/>
      <c r="E22" s="541"/>
      <c r="F22" s="541"/>
      <c r="G22" s="541"/>
      <c r="H22" s="542"/>
      <c r="I22" s="541"/>
      <c r="J22" s="543"/>
      <c r="K22" s="542"/>
      <c r="L22" s="541"/>
      <c r="M22" s="543"/>
      <c r="N22" s="542"/>
      <c r="O22" s="541"/>
      <c r="P22" s="543"/>
      <c r="Q22" s="542"/>
      <c r="R22" s="544"/>
      <c r="S22" s="543"/>
      <c r="T22" s="542"/>
      <c r="U22" s="544"/>
      <c r="V22" s="543"/>
      <c r="W22" s="542"/>
      <c r="X22" s="544"/>
      <c r="Y22" s="543"/>
      <c r="Z22" s="545"/>
    </row>
    <row r="23" spans="1:26" s="124" customFormat="1" ht="33" customHeight="1">
      <c r="A23" s="1181" t="s">
        <v>115</v>
      </c>
      <c r="B23" s="1221" t="s">
        <v>116</v>
      </c>
      <c r="C23" s="1212" t="s">
        <v>117</v>
      </c>
      <c r="D23" s="1175" t="s">
        <v>118</v>
      </c>
      <c r="E23" s="1178" t="s">
        <v>119</v>
      </c>
      <c r="F23" s="682" t="s">
        <v>120</v>
      </c>
      <c r="G23" s="683">
        <v>2</v>
      </c>
      <c r="H23" s="574">
        <v>0</v>
      </c>
      <c r="I23" s="575"/>
      <c r="J23" s="576" t="str">
        <f t="shared" ref="J23:J25" si="33">IF(H23,MIN(1,I23/H23),"")</f>
        <v/>
      </c>
      <c r="K23" s="574">
        <v>0</v>
      </c>
      <c r="L23" s="575"/>
      <c r="M23" s="576" t="str">
        <f t="shared" ref="M23:M28" si="34">IF(K23,MIN(1,L23/K23),"")</f>
        <v/>
      </c>
      <c r="N23" s="574">
        <v>0</v>
      </c>
      <c r="O23" s="575"/>
      <c r="P23" s="576" t="str">
        <f t="shared" ref="P23:P28" si="35">IF(N23,MIN(1,O23/N23),"")</f>
        <v/>
      </c>
      <c r="Q23" s="574">
        <v>2</v>
      </c>
      <c r="R23" s="575"/>
      <c r="S23" s="576">
        <f t="shared" ref="S23:S28" si="36">IF(Q23,MIN(1,R23/Q23),"")</f>
        <v>0</v>
      </c>
      <c r="T23" s="574"/>
      <c r="U23" s="575"/>
      <c r="V23" s="576" t="str">
        <f t="shared" ref="V23:V28" si="37">IF(T23,MIN(1,U23/T23),"")</f>
        <v/>
      </c>
      <c r="W23" s="574">
        <v>2</v>
      </c>
      <c r="X23" s="575"/>
      <c r="Y23" s="576">
        <f t="shared" ref="Y23:Y28" si="38">IF(W23,MIN(1,X23/W23),"")</f>
        <v>0</v>
      </c>
      <c r="Z23" s="1227" t="s">
        <v>121</v>
      </c>
    </row>
    <row r="24" spans="1:26" s="124" customFormat="1" ht="43.5" customHeight="1">
      <c r="A24" s="1196"/>
      <c r="B24" s="1199"/>
      <c r="C24" s="1213"/>
      <c r="D24" s="1199"/>
      <c r="E24" s="1179"/>
      <c r="F24" s="684" t="s">
        <v>122</v>
      </c>
      <c r="G24" s="685">
        <v>0</v>
      </c>
      <c r="H24" s="686">
        <v>0</v>
      </c>
      <c r="I24" s="687">
        <v>1</v>
      </c>
      <c r="J24" s="688" t="str">
        <f t="shared" si="33"/>
        <v/>
      </c>
      <c r="K24" s="686">
        <v>0</v>
      </c>
      <c r="L24" s="687">
        <v>1</v>
      </c>
      <c r="M24" s="688" t="str">
        <f t="shared" si="34"/>
        <v/>
      </c>
      <c r="N24" s="686">
        <v>0</v>
      </c>
      <c r="O24" s="687"/>
      <c r="P24" s="688" t="str">
        <f t="shared" si="35"/>
        <v/>
      </c>
      <c r="Q24" s="686">
        <v>1</v>
      </c>
      <c r="R24" s="687">
        <v>1</v>
      </c>
      <c r="S24" s="688">
        <f t="shared" si="36"/>
        <v>1</v>
      </c>
      <c r="T24" s="686"/>
      <c r="U24" s="687"/>
      <c r="V24" s="688" t="str">
        <f t="shared" si="37"/>
        <v/>
      </c>
      <c r="W24" s="686">
        <v>2</v>
      </c>
      <c r="X24" s="687"/>
      <c r="Y24" s="688">
        <f t="shared" si="38"/>
        <v>0</v>
      </c>
      <c r="Z24" s="1233"/>
    </row>
    <row r="25" spans="1:26" s="124" customFormat="1" ht="43.5" customHeight="1">
      <c r="A25" s="1196"/>
      <c r="B25" s="1199"/>
      <c r="C25" s="1213"/>
      <c r="D25" s="1199"/>
      <c r="E25" s="1179"/>
      <c r="F25" s="198" t="s">
        <v>123</v>
      </c>
      <c r="G25" s="296">
        <v>2</v>
      </c>
      <c r="H25" s="211">
        <v>0</v>
      </c>
      <c r="I25" s="212"/>
      <c r="J25" s="213" t="str">
        <f t="shared" si="33"/>
        <v/>
      </c>
      <c r="K25" s="211">
        <v>0</v>
      </c>
      <c r="L25" s="212"/>
      <c r="M25" s="213" t="str">
        <f t="shared" si="34"/>
        <v/>
      </c>
      <c r="N25" s="211">
        <v>0</v>
      </c>
      <c r="O25" s="212"/>
      <c r="P25" s="213" t="str">
        <f t="shared" si="35"/>
        <v/>
      </c>
      <c r="Q25" s="211">
        <v>3</v>
      </c>
      <c r="R25" s="212"/>
      <c r="S25" s="213">
        <f t="shared" si="36"/>
        <v>0</v>
      </c>
      <c r="T25" s="211"/>
      <c r="U25" s="212"/>
      <c r="V25" s="213" t="str">
        <f t="shared" si="37"/>
        <v/>
      </c>
      <c r="W25" s="211">
        <v>3</v>
      </c>
      <c r="X25" s="212"/>
      <c r="Y25" s="213">
        <f t="shared" si="38"/>
        <v>0</v>
      </c>
      <c r="Z25" s="1233"/>
    </row>
    <row r="26" spans="1:26" s="124" customFormat="1" ht="36.75" customHeight="1">
      <c r="A26" s="1196"/>
      <c r="B26" s="1200"/>
      <c r="C26" s="1214"/>
      <c r="D26" s="1200"/>
      <c r="E26" s="1180"/>
      <c r="F26" s="551" t="s">
        <v>4</v>
      </c>
      <c r="G26" s="293">
        <f>SUM(G23:G25)</f>
        <v>4</v>
      </c>
      <c r="H26" s="294">
        <f>SUM(H23:H25)</f>
        <v>0</v>
      </c>
      <c r="I26" s="295">
        <f>SUM(I23:I25)</f>
        <v>1</v>
      </c>
      <c r="J26" s="214" t="str">
        <f>IF(H26,MIN(1,I26/H26),"")</f>
        <v/>
      </c>
      <c r="K26" s="294">
        <f>SUM(K23:K25)</f>
        <v>0</v>
      </c>
      <c r="L26" s="295">
        <f>SUM(L23:L25)</f>
        <v>1</v>
      </c>
      <c r="M26" s="214" t="str">
        <f>IF(K26,MIN(1,L26/K26),"")</f>
        <v/>
      </c>
      <c r="N26" s="294"/>
      <c r="O26" s="295"/>
      <c r="P26" s="214" t="str">
        <f t="shared" si="35"/>
        <v/>
      </c>
      <c r="Q26" s="294">
        <f>SUM(Q23:Q25)</f>
        <v>6</v>
      </c>
      <c r="R26" s="295">
        <f>SUM(R23:R25)</f>
        <v>1</v>
      </c>
      <c r="S26" s="214">
        <f t="shared" si="36"/>
        <v>0.16666666666666666</v>
      </c>
      <c r="T26" s="294">
        <f>SUM(T23:T25)</f>
        <v>0</v>
      </c>
      <c r="U26" s="295">
        <f>SUM(U23:U25)</f>
        <v>0</v>
      </c>
      <c r="V26" s="214" t="str">
        <f t="shared" si="37"/>
        <v/>
      </c>
      <c r="W26" s="294">
        <f>SUM(W23:W25)</f>
        <v>7</v>
      </c>
      <c r="X26" s="295">
        <f>SUM(X23:X25)</f>
        <v>0</v>
      </c>
      <c r="Y26" s="214">
        <f t="shared" si="38"/>
        <v>0</v>
      </c>
      <c r="Z26" s="1238"/>
    </row>
    <row r="27" spans="1:26" s="124" customFormat="1" ht="44.25" customHeight="1">
      <c r="A27" s="1217" t="s">
        <v>124</v>
      </c>
      <c r="B27" s="1223" t="s">
        <v>118</v>
      </c>
      <c r="C27" s="1225" t="s">
        <v>125</v>
      </c>
      <c r="D27" s="1225" t="s">
        <v>126</v>
      </c>
      <c r="E27" s="1240" t="s">
        <v>78</v>
      </c>
      <c r="F27" s="200" t="s">
        <v>120</v>
      </c>
      <c r="G27" s="655">
        <v>0</v>
      </c>
      <c r="H27" s="656">
        <v>0.2</v>
      </c>
      <c r="I27" s="657"/>
      <c r="J27" s="658">
        <f t="shared" ref="J27:J28" si="39">IF(H27,MIN(1,I27/H27),"")</f>
        <v>0</v>
      </c>
      <c r="K27" s="656">
        <v>0.2</v>
      </c>
      <c r="L27" s="657"/>
      <c r="M27" s="658">
        <f t="shared" si="34"/>
        <v>0</v>
      </c>
      <c r="N27" s="707">
        <v>0.5</v>
      </c>
      <c r="O27" s="657">
        <v>0.65</v>
      </c>
      <c r="P27" s="658">
        <f t="shared" si="35"/>
        <v>1</v>
      </c>
      <c r="Q27" s="656">
        <v>0.7</v>
      </c>
      <c r="R27" s="657">
        <v>0</v>
      </c>
      <c r="S27" s="214">
        <f t="shared" si="36"/>
        <v>0</v>
      </c>
      <c r="T27" s="656">
        <v>0.9</v>
      </c>
      <c r="U27" s="657">
        <v>0</v>
      </c>
      <c r="V27" s="214">
        <f t="shared" si="37"/>
        <v>0</v>
      </c>
      <c r="W27" s="656">
        <v>1</v>
      </c>
      <c r="X27" s="657"/>
      <c r="Y27" s="214">
        <f t="shared" si="38"/>
        <v>0</v>
      </c>
      <c r="Z27" s="1227" t="s">
        <v>127</v>
      </c>
    </row>
    <row r="28" spans="1:26" s="124" customFormat="1" ht="93" customHeight="1">
      <c r="A28" s="1217"/>
      <c r="B28" s="1224"/>
      <c r="C28" s="1199"/>
      <c r="D28" s="1199"/>
      <c r="E28" s="1240"/>
      <c r="F28" s="200" t="s">
        <v>122</v>
      </c>
      <c r="G28" s="655">
        <v>0</v>
      </c>
      <c r="H28" s="656">
        <v>0</v>
      </c>
      <c r="I28" s="657"/>
      <c r="J28" s="658" t="str">
        <f t="shared" si="39"/>
        <v/>
      </c>
      <c r="K28" s="656">
        <v>0</v>
      </c>
      <c r="L28" s="657"/>
      <c r="M28" s="658" t="str">
        <f t="shared" si="34"/>
        <v/>
      </c>
      <c r="N28" s="707"/>
      <c r="O28" s="657"/>
      <c r="P28" s="658" t="str">
        <f t="shared" si="35"/>
        <v/>
      </c>
      <c r="Q28" s="656">
        <v>0.3</v>
      </c>
      <c r="R28" s="657">
        <v>0</v>
      </c>
      <c r="S28" s="214">
        <f t="shared" si="36"/>
        <v>0</v>
      </c>
      <c r="T28" s="656">
        <v>0.6</v>
      </c>
      <c r="U28" s="657">
        <v>0</v>
      </c>
      <c r="V28" s="214">
        <f t="shared" si="37"/>
        <v>0</v>
      </c>
      <c r="W28" s="656">
        <v>0.8</v>
      </c>
      <c r="X28" s="657"/>
      <c r="Y28" s="214">
        <f t="shared" si="38"/>
        <v>0</v>
      </c>
      <c r="Z28" s="1232"/>
    </row>
    <row r="29" spans="1:26" s="124" customFormat="1" ht="25" customHeight="1" thickBot="1">
      <c r="A29" s="1167" t="s">
        <v>128</v>
      </c>
      <c r="B29" s="1168"/>
      <c r="C29" s="1168"/>
      <c r="D29" s="1168"/>
      <c r="E29" s="1168"/>
      <c r="F29" s="1168"/>
      <c r="G29" s="1203"/>
      <c r="H29" s="217"/>
      <c r="I29" s="218"/>
      <c r="J29" s="219">
        <f>IFERROR(AVERAGE(J23:J25,J27:J28),"")</f>
        <v>0</v>
      </c>
      <c r="K29" s="217"/>
      <c r="L29" s="218"/>
      <c r="M29" s="219">
        <f>IFERROR(AVERAGE(M23:M25,M27:M28),"")</f>
        <v>0</v>
      </c>
      <c r="N29" s="217"/>
      <c r="O29" s="218"/>
      <c r="P29" s="219">
        <f>IFERROR(AVERAGE(P23:P25,P27:P28),"")</f>
        <v>1</v>
      </c>
      <c r="Q29" s="217"/>
      <c r="R29" s="218"/>
      <c r="S29" s="219">
        <f>IFERROR(AVERAGE(S23:S25,S27:S28),"")</f>
        <v>0.2</v>
      </c>
      <c r="T29" s="217"/>
      <c r="U29" s="218"/>
      <c r="V29" s="219">
        <f>IFERROR(AVERAGE(V23:V25,V27:V28),"")</f>
        <v>0</v>
      </c>
      <c r="W29" s="217"/>
      <c r="X29" s="218"/>
      <c r="Y29" s="219">
        <f>IFERROR(AVERAGE(Y23:Y25,Y27:Y28),"")</f>
        <v>0</v>
      </c>
      <c r="Z29" s="292"/>
    </row>
    <row r="30" spans="1:26" s="124" customFormat="1" ht="23.5" customHeight="1">
      <c r="A30" s="540" t="s">
        <v>129</v>
      </c>
      <c r="B30" s="541"/>
      <c r="C30" s="541"/>
      <c r="D30" s="541"/>
      <c r="E30" s="541"/>
      <c r="F30" s="541"/>
      <c r="G30" s="541"/>
      <c r="H30" s="542"/>
      <c r="I30" s="541"/>
      <c r="J30" s="543"/>
      <c r="K30" s="542"/>
      <c r="L30" s="541"/>
      <c r="M30" s="543"/>
      <c r="N30" s="542"/>
      <c r="O30" s="541"/>
      <c r="P30" s="543"/>
      <c r="Q30" s="542"/>
      <c r="R30" s="544"/>
      <c r="S30" s="543"/>
      <c r="T30" s="542"/>
      <c r="U30" s="544"/>
      <c r="V30" s="543"/>
      <c r="W30" s="542"/>
      <c r="X30" s="544"/>
      <c r="Y30" s="543"/>
      <c r="Z30" s="545"/>
    </row>
    <row r="31" spans="1:26" s="124" customFormat="1" ht="132.75" customHeight="1">
      <c r="A31" s="887" t="s">
        <v>130</v>
      </c>
      <c r="B31" s="559" t="s">
        <v>131</v>
      </c>
      <c r="C31" s="275" t="s">
        <v>132</v>
      </c>
      <c r="D31" s="275"/>
      <c r="E31" s="275" t="s">
        <v>78</v>
      </c>
      <c r="F31" s="206" t="s">
        <v>133</v>
      </c>
      <c r="G31" s="819">
        <v>0</v>
      </c>
      <c r="H31" s="561"/>
      <c r="I31" s="562"/>
      <c r="J31" s="208" t="str">
        <f t="shared" ref="J31" si="40">IF(H31,MIN(1,I31/H31),"")</f>
        <v/>
      </c>
      <c r="K31" s="561"/>
      <c r="L31" s="562"/>
      <c r="M31" s="208" t="str">
        <f t="shared" ref="M31:M37" si="41">IF(K31,MIN(1,L31/K31),"")</f>
        <v/>
      </c>
      <c r="N31" s="561">
        <v>3</v>
      </c>
      <c r="O31" s="562">
        <v>6</v>
      </c>
      <c r="P31" s="208">
        <f t="shared" ref="P31:P37" si="42">IF(N31,MIN(1,O31/N31),"")</f>
        <v>1</v>
      </c>
      <c r="Q31" s="561">
        <v>9</v>
      </c>
      <c r="R31" s="562">
        <v>6</v>
      </c>
      <c r="S31" s="208">
        <f t="shared" ref="S31:S37" si="43">IF(Q31,MIN(1,R31/Q31),"")</f>
        <v>0.66666666666666663</v>
      </c>
      <c r="T31" s="561">
        <v>9</v>
      </c>
      <c r="U31" s="562">
        <v>1</v>
      </c>
      <c r="V31" s="208">
        <f t="shared" ref="V31:V37" si="44">IF(T31,MIN(1,U31/T31),"")</f>
        <v>0.1111111111111111</v>
      </c>
      <c r="W31" s="561"/>
      <c r="X31" s="562"/>
      <c r="Y31" s="208" t="str">
        <f t="shared" ref="Y31:Y37" si="45">IF(W31,MIN(1,X31/W31),"")</f>
        <v/>
      </c>
      <c r="Z31" s="287" t="s">
        <v>134</v>
      </c>
    </row>
    <row r="32" spans="1:26" s="124" customFormat="1" ht="65.25" customHeight="1">
      <c r="A32" s="547"/>
      <c r="B32" s="559"/>
      <c r="C32" s="275"/>
      <c r="D32" s="275"/>
      <c r="E32" s="275"/>
      <c r="F32" s="808"/>
      <c r="G32" s="560"/>
      <c r="H32" s="757"/>
      <c r="I32" s="809"/>
      <c r="J32" s="810"/>
      <c r="K32" s="757"/>
      <c r="L32" s="809"/>
      <c r="M32" s="810"/>
      <c r="N32" s="757"/>
      <c r="O32" s="809"/>
      <c r="P32" s="810"/>
      <c r="Q32" s="757"/>
      <c r="R32" s="809"/>
      <c r="S32" s="810">
        <f>AVERAGE(S33:S34)</f>
        <v>0.86111111111111116</v>
      </c>
      <c r="T32" s="757"/>
      <c r="U32" s="809"/>
      <c r="V32" s="810">
        <f>AVERAGE(V33:V34)</f>
        <v>0.61250000000000004</v>
      </c>
      <c r="W32" s="757"/>
      <c r="X32" s="809"/>
      <c r="Y32" s="810"/>
      <c r="Z32" s="287"/>
    </row>
    <row r="33" spans="1:26" s="124" customFormat="1" ht="64.5" customHeight="1">
      <c r="A33" s="1217" t="s">
        <v>135</v>
      </c>
      <c r="B33" s="1226" t="s">
        <v>136</v>
      </c>
      <c r="C33" s="570"/>
      <c r="D33" s="571"/>
      <c r="E33" s="572" t="s">
        <v>100</v>
      </c>
      <c r="F33" s="572" t="s">
        <v>137</v>
      </c>
      <c r="G33" s="573">
        <v>11</v>
      </c>
      <c r="H33" s="574"/>
      <c r="I33" s="575"/>
      <c r="J33" s="576" t="str">
        <f t="shared" ref="J33:J34" si="46">IF(H33,MIN(1,I33/H33),"")</f>
        <v/>
      </c>
      <c r="K33" s="574"/>
      <c r="L33" s="575"/>
      <c r="M33" s="576" t="str">
        <f t="shared" si="41"/>
        <v/>
      </c>
      <c r="N33" s="574">
        <v>20</v>
      </c>
      <c r="O33" s="575">
        <v>12</v>
      </c>
      <c r="P33" s="576">
        <f t="shared" si="42"/>
        <v>0.6</v>
      </c>
      <c r="Q33" s="574">
        <v>30</v>
      </c>
      <c r="R33" s="575">
        <v>25</v>
      </c>
      <c r="S33" s="576">
        <f t="shared" si="43"/>
        <v>0.83333333333333337</v>
      </c>
      <c r="T33" s="574">
        <v>50</v>
      </c>
      <c r="U33" s="575">
        <f>R33</f>
        <v>25</v>
      </c>
      <c r="V33" s="576">
        <f t="shared" si="44"/>
        <v>0.5</v>
      </c>
      <c r="W33" s="574">
        <v>76</v>
      </c>
      <c r="X33" s="575"/>
      <c r="Y33" s="576">
        <f t="shared" si="45"/>
        <v>0</v>
      </c>
      <c r="Z33" s="287"/>
    </row>
    <row r="34" spans="1:26" s="124" customFormat="1" ht="64.5" customHeight="1">
      <c r="A34" s="1217"/>
      <c r="B34" s="1180"/>
      <c r="C34" s="577"/>
      <c r="D34" s="578"/>
      <c r="E34" s="579"/>
      <c r="F34" s="579" t="s">
        <v>138</v>
      </c>
      <c r="G34" s="580">
        <v>0</v>
      </c>
      <c r="H34" s="581"/>
      <c r="I34" s="582"/>
      <c r="J34" s="583" t="str">
        <f t="shared" si="46"/>
        <v/>
      </c>
      <c r="K34" s="581"/>
      <c r="L34" s="582"/>
      <c r="M34" s="583" t="str">
        <f t="shared" si="41"/>
        <v/>
      </c>
      <c r="N34" s="581">
        <v>15</v>
      </c>
      <c r="O34" s="582">
        <v>12</v>
      </c>
      <c r="P34" s="583">
        <f t="shared" si="42"/>
        <v>0.8</v>
      </c>
      <c r="Q34" s="581">
        <v>27</v>
      </c>
      <c r="R34" s="582">
        <v>24</v>
      </c>
      <c r="S34" s="583">
        <f t="shared" si="43"/>
        <v>0.88888888888888884</v>
      </c>
      <c r="T34" s="581">
        <v>40</v>
      </c>
      <c r="U34" s="582">
        <f>R34+5</f>
        <v>29</v>
      </c>
      <c r="V34" s="583">
        <f t="shared" si="44"/>
        <v>0.72499999999999998</v>
      </c>
      <c r="W34" s="581">
        <v>54</v>
      </c>
      <c r="X34" s="582"/>
      <c r="Y34" s="583">
        <f t="shared" si="45"/>
        <v>0</v>
      </c>
      <c r="Z34" s="452"/>
    </row>
    <row r="35" spans="1:26" s="124" customFormat="1" ht="64.5" customHeight="1">
      <c r="A35" s="1217"/>
      <c r="B35" s="806"/>
      <c r="C35" s="811"/>
      <c r="D35" s="812"/>
      <c r="E35" s="807"/>
      <c r="F35" s="807"/>
      <c r="G35" s="813"/>
      <c r="H35" s="814"/>
      <c r="I35" s="548"/>
      <c r="J35" s="538"/>
      <c r="K35" s="814"/>
      <c r="L35" s="548"/>
      <c r="M35" s="538"/>
      <c r="N35" s="814"/>
      <c r="O35" s="548"/>
      <c r="P35" s="538"/>
      <c r="Q35" s="814"/>
      <c r="R35" s="548"/>
      <c r="S35" s="538">
        <f>AVERAGE(S36:S37)</f>
        <v>1</v>
      </c>
      <c r="T35" s="814"/>
      <c r="U35" s="548"/>
      <c r="V35" s="538"/>
      <c r="W35" s="814"/>
      <c r="X35" s="548"/>
      <c r="Y35" s="538"/>
      <c r="Z35" s="452"/>
    </row>
    <row r="36" spans="1:26" s="124" customFormat="1" ht="64.5" customHeight="1">
      <c r="A36" s="1217"/>
      <c r="B36" s="1226" t="s">
        <v>139</v>
      </c>
      <c r="C36" s="1222" t="s">
        <v>140</v>
      </c>
      <c r="D36" s="1175" t="s">
        <v>141</v>
      </c>
      <c r="E36" s="1178" t="s">
        <v>142</v>
      </c>
      <c r="F36" s="564" t="s">
        <v>143</v>
      </c>
      <c r="G36" s="708">
        <v>3767.1673000000001</v>
      </c>
      <c r="H36" s="565"/>
      <c r="I36" s="562"/>
      <c r="J36" s="208" t="str">
        <f t="shared" ref="J36:J37" si="47">IF(H36,MIN(1,I36/H36),"")</f>
        <v/>
      </c>
      <c r="K36" s="565"/>
      <c r="L36" s="562"/>
      <c r="M36" s="208" t="str">
        <f t="shared" si="41"/>
        <v/>
      </c>
      <c r="N36" s="565"/>
      <c r="O36" s="562"/>
      <c r="P36" s="576" t="str">
        <f t="shared" si="42"/>
        <v/>
      </c>
      <c r="Q36" s="561">
        <v>4821</v>
      </c>
      <c r="R36" s="562">
        <v>5034</v>
      </c>
      <c r="S36" s="208">
        <f t="shared" si="43"/>
        <v>1</v>
      </c>
      <c r="T36" s="565"/>
      <c r="U36" s="562"/>
      <c r="V36" s="208" t="str">
        <f t="shared" si="44"/>
        <v/>
      </c>
      <c r="W36" s="561" t="s">
        <v>144</v>
      </c>
      <c r="X36" s="562"/>
      <c r="Y36" s="208" t="e">
        <f t="shared" ref="Y36" si="48">IF(W36,MIN(1,X36/W36),"")</f>
        <v>#VALUE!</v>
      </c>
      <c r="Z36" s="1232" t="s">
        <v>145</v>
      </c>
    </row>
    <row r="37" spans="1:26" s="124" customFormat="1" ht="82.5" customHeight="1">
      <c r="A37" s="1217"/>
      <c r="B37" s="1180"/>
      <c r="C37" s="1214"/>
      <c r="D37" s="1200"/>
      <c r="E37" s="1200"/>
      <c r="F37" s="566" t="s">
        <v>146</v>
      </c>
      <c r="G37" s="716">
        <v>5687.6270000000004</v>
      </c>
      <c r="H37" s="567"/>
      <c r="I37" s="568"/>
      <c r="J37" s="569" t="str">
        <f t="shared" si="47"/>
        <v/>
      </c>
      <c r="K37" s="567"/>
      <c r="L37" s="568"/>
      <c r="M37" s="569" t="str">
        <f t="shared" si="41"/>
        <v/>
      </c>
      <c r="N37" s="567"/>
      <c r="O37" s="568"/>
      <c r="P37" s="583" t="str">
        <f t="shared" si="42"/>
        <v/>
      </c>
      <c r="Q37" s="567">
        <v>3784</v>
      </c>
      <c r="R37" s="568">
        <v>5876</v>
      </c>
      <c r="S37" s="569">
        <f t="shared" si="43"/>
        <v>1</v>
      </c>
      <c r="T37" s="567"/>
      <c r="U37" s="568"/>
      <c r="V37" s="569" t="str">
        <f t="shared" si="44"/>
        <v/>
      </c>
      <c r="W37" s="634" t="s">
        <v>144</v>
      </c>
      <c r="X37" s="568"/>
      <c r="Y37" s="569" t="e">
        <f t="shared" si="45"/>
        <v>#VALUE!</v>
      </c>
      <c r="Z37" s="1241"/>
    </row>
    <row r="38" spans="1:26" s="124" customFormat="1" ht="25" customHeight="1" thickBot="1">
      <c r="A38" s="1167" t="s">
        <v>147</v>
      </c>
      <c r="B38" s="1168"/>
      <c r="C38" s="1168"/>
      <c r="D38" s="1168"/>
      <c r="E38" s="1168"/>
      <c r="F38" s="1168"/>
      <c r="G38" s="1168"/>
      <c r="H38" s="217"/>
      <c r="I38" s="218"/>
      <c r="J38" s="219" t="str">
        <f>IFERROR(AVERAGE(J31,J33:J37),"")</f>
        <v/>
      </c>
      <c r="K38" s="217"/>
      <c r="L38" s="218"/>
      <c r="M38" s="219" t="str">
        <f>IFERROR(AVERAGE(M31,M33:M37),"")</f>
        <v/>
      </c>
      <c r="N38" s="217"/>
      <c r="O38" s="218"/>
      <c r="P38" s="219">
        <f>IFERROR(AVERAGE(P31,P33:P37),"")</f>
        <v>0.80000000000000016</v>
      </c>
      <c r="Q38" s="217"/>
      <c r="R38" s="218"/>
      <c r="S38" s="219">
        <f>IFERROR(AVERAGE(S31,S33:S37),"")</f>
        <v>0.89814814814814825</v>
      </c>
      <c r="T38" s="217"/>
      <c r="U38" s="218"/>
      <c r="V38" s="219" t="str">
        <f>IFERROR(AVERAGE(V31,#REF!,#REF!,#REF!),"")</f>
        <v/>
      </c>
      <c r="W38" s="217"/>
      <c r="X38" s="218"/>
      <c r="Y38" s="219" t="str">
        <f>IFERROR(AVERAGE(Y31,Y33:Y37),"")</f>
        <v/>
      </c>
      <c r="Z38" s="292"/>
    </row>
    <row r="39" spans="1:26" s="124" customFormat="1" ht="23.5" customHeight="1">
      <c r="A39" s="540" t="s">
        <v>148</v>
      </c>
      <c r="B39" s="541"/>
      <c r="C39" s="541"/>
      <c r="D39" s="541"/>
      <c r="E39" s="541"/>
      <c r="F39" s="541"/>
      <c r="G39" s="541"/>
      <c r="H39" s="542"/>
      <c r="I39" s="541"/>
      <c r="J39" s="543"/>
      <c r="K39" s="542"/>
      <c r="L39" s="541"/>
      <c r="M39" s="543"/>
      <c r="N39" s="542"/>
      <c r="O39" s="541"/>
      <c r="P39" s="543"/>
      <c r="Q39" s="542"/>
      <c r="R39" s="544"/>
      <c r="S39" s="543"/>
      <c r="T39" s="542"/>
      <c r="U39" s="544"/>
      <c r="V39" s="543"/>
      <c r="W39" s="542"/>
      <c r="X39" s="544"/>
      <c r="Y39" s="543"/>
      <c r="Z39" s="545"/>
    </row>
    <row r="40" spans="1:26" s="124" customFormat="1">
      <c r="A40" s="1181" t="s">
        <v>149</v>
      </c>
      <c r="B40" s="1242" t="s">
        <v>150</v>
      </c>
      <c r="C40" s="1243" t="s">
        <v>151</v>
      </c>
      <c r="D40" s="1175" t="s">
        <v>152</v>
      </c>
      <c r="E40" s="1178" t="s">
        <v>78</v>
      </c>
      <c r="F40" s="585" t="s">
        <v>153</v>
      </c>
      <c r="G40" s="717">
        <v>74</v>
      </c>
      <c r="H40" s="598"/>
      <c r="I40" s="562"/>
      <c r="J40" s="208" t="str">
        <f t="shared" ref="J40:J43" si="49">IF(H40,MIN(1,I40/H40),"")</f>
        <v/>
      </c>
      <c r="K40" s="598">
        <v>5.8</v>
      </c>
      <c r="L40" s="562"/>
      <c r="M40" s="208">
        <f t="shared" ref="M40:M72" si="50">IF(K40,MIN(1,L40/K40),"")</f>
        <v>0</v>
      </c>
      <c r="N40" s="721">
        <f>G40-G40*5%</f>
        <v>70.3</v>
      </c>
      <c r="O40" s="722">
        <v>55</v>
      </c>
      <c r="P40" s="698">
        <v>1</v>
      </c>
      <c r="Q40" s="721">
        <v>5.22</v>
      </c>
      <c r="R40" s="722">
        <v>7</v>
      </c>
      <c r="S40" s="208">
        <f t="shared" ref="S40:S46" si="51">IF(Q40,MIN(1,R40/Q40),"")</f>
        <v>1</v>
      </c>
      <c r="T40" s="721">
        <v>47</v>
      </c>
      <c r="U40" s="722">
        <v>5</v>
      </c>
      <c r="V40" s="208">
        <f>IF(T40,MIN(1,T40/T40),"")</f>
        <v>1</v>
      </c>
      <c r="W40" s="721">
        <v>4.6399999999999997</v>
      </c>
      <c r="X40" s="722"/>
      <c r="Y40" s="208">
        <f t="shared" ref="Y40:Y43" si="52">IF(W40,MIN(1,X40/W40),"")</f>
        <v>0</v>
      </c>
      <c r="Z40" s="1227"/>
    </row>
    <row r="41" spans="1:26" s="124" customFormat="1">
      <c r="A41" s="1247"/>
      <c r="B41" s="1242"/>
      <c r="C41" s="1244"/>
      <c r="D41" s="1176"/>
      <c r="E41" s="1179"/>
      <c r="F41" s="588" t="s">
        <v>154</v>
      </c>
      <c r="G41" s="718">
        <v>114</v>
      </c>
      <c r="H41" s="599"/>
      <c r="I41" s="591"/>
      <c r="J41" s="592" t="str">
        <f t="shared" si="49"/>
        <v/>
      </c>
      <c r="K41" s="599">
        <v>5</v>
      </c>
      <c r="L41" s="591"/>
      <c r="M41" s="592">
        <f t="shared" si="50"/>
        <v>0</v>
      </c>
      <c r="N41" s="723">
        <f t="shared" ref="N41:N43" si="53">G41-G41*5%</f>
        <v>108.3</v>
      </c>
      <c r="O41" s="724">
        <v>152</v>
      </c>
      <c r="P41" s="699">
        <v>0</v>
      </c>
      <c r="Q41" s="723">
        <v>4.5</v>
      </c>
      <c r="R41" s="724">
        <v>8</v>
      </c>
      <c r="S41" s="592">
        <f t="shared" ref="S41:S42" si="54">IF(Q41,MIN(1,R41/Q41),"")</f>
        <v>1</v>
      </c>
      <c r="T41" s="723">
        <v>129</v>
      </c>
      <c r="U41" s="724">
        <v>3</v>
      </c>
      <c r="V41" s="208">
        <f t="shared" ref="V41:V43" si="55">IF(T41,MIN(1,T41/T41),"")</f>
        <v>1</v>
      </c>
      <c r="W41" s="723">
        <v>4</v>
      </c>
      <c r="X41" s="724"/>
      <c r="Y41" s="592">
        <f>IF(W41,MIN(1,X41/W41),"")</f>
        <v>0</v>
      </c>
      <c r="Z41" s="1233"/>
    </row>
    <row r="42" spans="1:26" s="124" customFormat="1">
      <c r="A42" s="1247"/>
      <c r="B42" s="1242"/>
      <c r="C42" s="1244"/>
      <c r="D42" s="1176"/>
      <c r="E42" s="1179"/>
      <c r="F42" s="588" t="s">
        <v>155</v>
      </c>
      <c r="G42" s="718">
        <v>505</v>
      </c>
      <c r="H42" s="599"/>
      <c r="I42" s="591"/>
      <c r="J42" s="592" t="str">
        <f t="shared" si="49"/>
        <v/>
      </c>
      <c r="K42" s="599">
        <v>20.399999999999999</v>
      </c>
      <c r="L42" s="591"/>
      <c r="M42" s="592">
        <f t="shared" si="50"/>
        <v>0</v>
      </c>
      <c r="N42" s="723">
        <f t="shared" si="53"/>
        <v>479.75</v>
      </c>
      <c r="O42" s="724">
        <v>15</v>
      </c>
      <c r="P42" s="699">
        <v>1</v>
      </c>
      <c r="Q42" s="723">
        <v>18.36</v>
      </c>
      <c r="R42" s="724">
        <v>107</v>
      </c>
      <c r="S42" s="592">
        <f t="shared" si="54"/>
        <v>1</v>
      </c>
      <c r="T42" s="723">
        <v>429</v>
      </c>
      <c r="U42" s="724">
        <v>36</v>
      </c>
      <c r="V42" s="208">
        <f t="shared" si="55"/>
        <v>1</v>
      </c>
      <c r="W42" s="723">
        <v>16.32</v>
      </c>
      <c r="X42" s="724"/>
      <c r="Y42" s="592">
        <f>IF(W42,MIN(1,X42/W42),"")</f>
        <v>0</v>
      </c>
      <c r="Z42" s="1233"/>
    </row>
    <row r="43" spans="1:26" s="124" customFormat="1">
      <c r="A43" s="1247"/>
      <c r="B43" s="1242"/>
      <c r="C43" s="1245"/>
      <c r="D43" s="1176"/>
      <c r="E43" s="1179"/>
      <c r="F43" s="593" t="s">
        <v>156</v>
      </c>
      <c r="G43" s="719">
        <v>505</v>
      </c>
      <c r="H43" s="600"/>
      <c r="I43" s="596"/>
      <c r="J43" s="597" t="str">
        <f t="shared" si="49"/>
        <v/>
      </c>
      <c r="K43" s="600">
        <v>24.2</v>
      </c>
      <c r="L43" s="596"/>
      <c r="M43" s="597">
        <f t="shared" si="50"/>
        <v>0</v>
      </c>
      <c r="N43" s="725">
        <f t="shared" si="53"/>
        <v>479.75</v>
      </c>
      <c r="O43" s="726">
        <v>118</v>
      </c>
      <c r="P43" s="700">
        <v>1</v>
      </c>
      <c r="Q43" s="725">
        <v>21.78</v>
      </c>
      <c r="R43" s="726">
        <v>163</v>
      </c>
      <c r="S43" s="597">
        <f t="shared" si="51"/>
        <v>1</v>
      </c>
      <c r="T43" s="725">
        <v>429</v>
      </c>
      <c r="U43" s="726">
        <v>69</v>
      </c>
      <c r="V43" s="208">
        <f t="shared" si="55"/>
        <v>1</v>
      </c>
      <c r="W43" s="725">
        <v>19.36</v>
      </c>
      <c r="X43" s="726"/>
      <c r="Y43" s="597">
        <f t="shared" si="52"/>
        <v>0</v>
      </c>
      <c r="Z43" s="1233"/>
    </row>
    <row r="44" spans="1:26" s="124" customFormat="1">
      <c r="A44" s="1247"/>
      <c r="B44" s="1242"/>
      <c r="C44" s="1246"/>
      <c r="D44" s="1177"/>
      <c r="E44" s="1180"/>
      <c r="F44" s="297" t="s">
        <v>4</v>
      </c>
      <c r="G44" s="720">
        <f>SUM(G40:G43)</f>
        <v>1198</v>
      </c>
      <c r="H44" s="584"/>
      <c r="I44" s="764"/>
      <c r="J44" s="214" t="str">
        <f>IFERROR(AVERAGE(J40:J43),"")</f>
        <v/>
      </c>
      <c r="K44" s="584">
        <f>SUM(K40:K43)</f>
        <v>55.4</v>
      </c>
      <c r="L44" s="764">
        <f>SUM(L40:L43)</f>
        <v>0</v>
      </c>
      <c r="M44" s="214">
        <f>IFERROR(AVERAGE(M40:M43),"")</f>
        <v>0</v>
      </c>
      <c r="N44" s="727">
        <f>SUM(N40:N43)</f>
        <v>1138.0999999999999</v>
      </c>
      <c r="O44" s="728">
        <f>SUM(O40:O43)</f>
        <v>340</v>
      </c>
      <c r="P44" s="214">
        <f>IFERROR(AVERAGE(P40:P43),"")</f>
        <v>0.75</v>
      </c>
      <c r="Q44" s="727">
        <f>SUM(Q40:Q43)</f>
        <v>49.86</v>
      </c>
      <c r="R44" s="728">
        <f>SUM(R40:R43)</f>
        <v>285</v>
      </c>
      <c r="S44" s="214">
        <f>IFERROR(AVERAGE(S40:S43),"")</f>
        <v>1</v>
      </c>
      <c r="T44" s="727">
        <f>SUM(T40:T43)</f>
        <v>1034</v>
      </c>
      <c r="U44" s="728">
        <f>SUM(U40:U43)</f>
        <v>113</v>
      </c>
      <c r="V44" s="214">
        <f>IFERROR(AVERAGE(V40:V43),"")</f>
        <v>1</v>
      </c>
      <c r="W44" s="727">
        <f>SUM(W40:W43)</f>
        <v>44.32</v>
      </c>
      <c r="X44" s="728">
        <f>SUM(X40:X43)</f>
        <v>0</v>
      </c>
      <c r="Y44" s="214">
        <f>IFERROR(AVERAGE(Y40:Y43),"")</f>
        <v>0</v>
      </c>
      <c r="Z44" s="1238"/>
    </row>
    <row r="45" spans="1:26" s="124" customFormat="1" ht="69.75" customHeight="1">
      <c r="A45" s="1247"/>
      <c r="B45" s="1169" t="s">
        <v>157</v>
      </c>
      <c r="C45" s="1172" t="s">
        <v>158</v>
      </c>
      <c r="D45" s="1175" t="s">
        <v>159</v>
      </c>
      <c r="E45" s="1178" t="s">
        <v>78</v>
      </c>
      <c r="F45" s="585" t="s">
        <v>160</v>
      </c>
      <c r="G45" s="708">
        <f>76-11</f>
        <v>65</v>
      </c>
      <c r="H45" s="709"/>
      <c r="I45" s="765"/>
      <c r="J45" s="710" t="str">
        <f>IF(H45,MIN(1,I45/H45),"")</f>
        <v/>
      </c>
      <c r="K45" s="709"/>
      <c r="L45" s="765"/>
      <c r="M45" s="710" t="str">
        <f>IF(K45,MIN(1,L45/K45),"")</f>
        <v/>
      </c>
      <c r="N45" s="709">
        <f>G45*15%</f>
        <v>9.75</v>
      </c>
      <c r="O45" s="562">
        <v>3</v>
      </c>
      <c r="P45" s="208">
        <f>IF(N45,MIN(1,O45/N45),"")</f>
        <v>0.30769230769230771</v>
      </c>
      <c r="Q45" s="709">
        <v>16</v>
      </c>
      <c r="R45" s="562">
        <v>11</v>
      </c>
      <c r="S45" s="208">
        <f t="shared" si="51"/>
        <v>0.6875</v>
      </c>
      <c r="T45" s="709">
        <v>26</v>
      </c>
      <c r="U45" s="562">
        <f>R45+7</f>
        <v>18</v>
      </c>
      <c r="V45" s="208">
        <f t="shared" ref="V45:V46" si="56">IF(T45,MIN(1,U45/T45),"")</f>
        <v>0.69230769230769229</v>
      </c>
      <c r="W45" s="709"/>
      <c r="X45" s="212"/>
      <c r="Y45" s="213" t="str">
        <f t="shared" ref="Y45:Y46" si="57">IF(W45,MIN(1,X45/W45),"")</f>
        <v/>
      </c>
      <c r="Z45" s="1250" t="s">
        <v>161</v>
      </c>
    </row>
    <row r="46" spans="1:26" s="124" customFormat="1" ht="54.75" customHeight="1">
      <c r="A46" s="1247"/>
      <c r="B46" s="1252"/>
      <c r="C46" s="1173"/>
      <c r="D46" s="1176"/>
      <c r="E46" s="1179"/>
      <c r="F46" s="703" t="s">
        <v>162</v>
      </c>
      <c r="G46" s="711">
        <v>54</v>
      </c>
      <c r="H46" s="712"/>
      <c r="I46" s="766"/>
      <c r="J46" s="713" t="str">
        <f t="shared" ref="J46" si="58">IF(H46,MIN(1,I46/H46),"")</f>
        <v/>
      </c>
      <c r="K46" s="712">
        <v>54</v>
      </c>
      <c r="L46" s="766"/>
      <c r="M46" s="713">
        <f t="shared" ref="M46" si="59">IF(K46,MIN(1,L46/K46),"")</f>
        <v>0</v>
      </c>
      <c r="N46" s="712">
        <f t="shared" ref="N46" si="60">G46*15%</f>
        <v>8.1</v>
      </c>
      <c r="O46" s="704">
        <v>1</v>
      </c>
      <c r="P46" s="705">
        <f>IF(N46,MIN(1,O46/N46),"")</f>
        <v>0.1234567901234568</v>
      </c>
      <c r="Q46" s="712">
        <v>13</v>
      </c>
      <c r="R46" s="704">
        <v>7</v>
      </c>
      <c r="S46" s="705">
        <f t="shared" si="51"/>
        <v>0.53846153846153844</v>
      </c>
      <c r="T46" s="712">
        <v>21</v>
      </c>
      <c r="U46" s="704">
        <f>R46+6</f>
        <v>13</v>
      </c>
      <c r="V46" s="705">
        <f t="shared" si="56"/>
        <v>0.61904761904761907</v>
      </c>
      <c r="W46" s="712"/>
      <c r="X46" s="701"/>
      <c r="Y46" s="702" t="str">
        <f t="shared" si="57"/>
        <v/>
      </c>
      <c r="Z46" s="1249"/>
    </row>
    <row r="47" spans="1:26" s="124" customFormat="1">
      <c r="A47" s="1247"/>
      <c r="B47" s="1253"/>
      <c r="C47" s="1174"/>
      <c r="D47" s="1177"/>
      <c r="E47" s="1180"/>
      <c r="F47" s="297" t="s">
        <v>4</v>
      </c>
      <c r="G47" s="293">
        <f xml:space="preserve"> SUM(G45:G46,)</f>
        <v>119</v>
      </c>
      <c r="H47" s="294"/>
      <c r="I47" s="767"/>
      <c r="J47" s="214" t="str">
        <f>IFERROR(AVERAGE(J45:J46),"")</f>
        <v/>
      </c>
      <c r="K47" s="294">
        <f>SUM(K45:K46)</f>
        <v>54</v>
      </c>
      <c r="L47" s="767">
        <f>SUM(L45:L46)</f>
        <v>0</v>
      </c>
      <c r="M47" s="214">
        <f>IFERROR(AVERAGE(M45:M46),"")</f>
        <v>0</v>
      </c>
      <c r="N47" s="294">
        <f xml:space="preserve"> SUM(N45:N46,)</f>
        <v>17.850000000000001</v>
      </c>
      <c r="O47" s="295">
        <f xml:space="preserve"> SUM(O45:O46,)</f>
        <v>4</v>
      </c>
      <c r="P47" s="214">
        <f>IFERROR(AVERAGE(P45:P46),"")</f>
        <v>0.21557454890788225</v>
      </c>
      <c r="Q47" s="294">
        <f>SUM(Q45:Q46)</f>
        <v>29</v>
      </c>
      <c r="R47" s="295">
        <f>SUM(R45:R46)</f>
        <v>18</v>
      </c>
      <c r="S47" s="214">
        <f>IFERROR(AVERAGE(S45:S46),"")</f>
        <v>0.61298076923076916</v>
      </c>
      <c r="T47" s="294">
        <f>SUM(T45:T46)</f>
        <v>47</v>
      </c>
      <c r="U47" s="295">
        <f>SUM(U45:U46)</f>
        <v>31</v>
      </c>
      <c r="V47" s="214">
        <f>IFERROR(AVERAGE(V45:V46),"")</f>
        <v>0.65567765567765568</v>
      </c>
      <c r="W47" s="294">
        <f>SUM(W45:W46)</f>
        <v>0</v>
      </c>
      <c r="X47" s="295">
        <f>SUM(X45:X46)</f>
        <v>0</v>
      </c>
      <c r="Y47" s="214" t="str">
        <f>IFERROR(AVERAGE(Y45:Y46),"")</f>
        <v/>
      </c>
      <c r="Z47" s="1251" t="s">
        <v>163</v>
      </c>
    </row>
    <row r="48" spans="1:26" s="124" customFormat="1" ht="15" customHeight="1">
      <c r="A48" s="1196"/>
      <c r="B48" s="1169" t="s">
        <v>164</v>
      </c>
      <c r="C48" s="1172" t="s">
        <v>165</v>
      </c>
      <c r="D48" s="1175"/>
      <c r="E48" s="1178" t="s">
        <v>166</v>
      </c>
      <c r="F48" s="585" t="s">
        <v>167</v>
      </c>
      <c r="G48" s="586">
        <v>0</v>
      </c>
      <c r="H48" s="587"/>
      <c r="I48" s="562"/>
      <c r="J48" s="208" t="str">
        <f>IF(H48,MIN(1,I48/H48),"")</f>
        <v/>
      </c>
      <c r="K48" s="587">
        <v>0</v>
      </c>
      <c r="L48" s="562"/>
      <c r="M48" s="208" t="str">
        <f>IF(K48,MIN(1,L48/K48),"")</f>
        <v/>
      </c>
      <c r="N48" s="587">
        <v>5</v>
      </c>
      <c r="O48" s="562">
        <v>2</v>
      </c>
      <c r="P48" s="208">
        <f>IF(N48,MIN(1,O48/N48),"")</f>
        <v>0.4</v>
      </c>
      <c r="Q48" s="587">
        <v>10</v>
      </c>
      <c r="R48" s="562">
        <v>8</v>
      </c>
      <c r="S48" s="208">
        <f>IF(Q48,MIN(1,R48/Q48),"")</f>
        <v>0.8</v>
      </c>
      <c r="T48" s="587">
        <v>10</v>
      </c>
      <c r="U48" s="562">
        <v>9</v>
      </c>
      <c r="V48" s="208">
        <f>IF(T48,MIN(1,U48/T48),"")</f>
        <v>0.9</v>
      </c>
      <c r="W48" s="587">
        <v>10</v>
      </c>
      <c r="X48" s="562"/>
      <c r="Y48" s="208">
        <f>IF(W48,MIN(1,X48/W48),"")</f>
        <v>0</v>
      </c>
      <c r="Z48" s="1249"/>
    </row>
    <row r="49" spans="1:26" s="124" customFormat="1">
      <c r="A49" s="1196"/>
      <c r="B49" s="1170"/>
      <c r="C49" s="1173"/>
      <c r="D49" s="1176"/>
      <c r="E49" s="1179"/>
      <c r="F49" s="588" t="s">
        <v>168</v>
      </c>
      <c r="G49" s="589">
        <v>0</v>
      </c>
      <c r="H49" s="590"/>
      <c r="I49" s="591"/>
      <c r="J49" s="592" t="str">
        <f t="shared" ref="J49:J50" si="61">IF(H49,MIN(1,I49/H49),"")</f>
        <v/>
      </c>
      <c r="K49" s="590">
        <v>0</v>
      </c>
      <c r="L49" s="591"/>
      <c r="M49" s="592" t="str">
        <f t="shared" ref="M49:M50" si="62">IF(K49,MIN(1,L49/K49),"")</f>
        <v/>
      </c>
      <c r="N49" s="590">
        <v>5</v>
      </c>
      <c r="O49" s="591">
        <v>5</v>
      </c>
      <c r="P49" s="592">
        <f t="shared" ref="P49:P50" si="63">IF(N49,MIN(1,O49/N49),"")</f>
        <v>1</v>
      </c>
      <c r="Q49" s="590">
        <v>10</v>
      </c>
      <c r="R49" s="591">
        <v>6</v>
      </c>
      <c r="S49" s="592">
        <f t="shared" ref="S49:S50" si="64">IF(Q49,MIN(1,R49/Q49),"")</f>
        <v>0.6</v>
      </c>
      <c r="T49" s="590">
        <v>10</v>
      </c>
      <c r="U49" s="591">
        <v>10</v>
      </c>
      <c r="V49" s="592">
        <f t="shared" ref="V49:V50" si="65">IF(T49,MIN(1,U49/T49),"")</f>
        <v>1</v>
      </c>
      <c r="W49" s="590">
        <v>10</v>
      </c>
      <c r="X49" s="591"/>
      <c r="Y49" s="592">
        <f t="shared" ref="Y49:Y50" si="66">IF(W49,MIN(1,X49/W49),"")</f>
        <v>0</v>
      </c>
      <c r="Z49" s="1249"/>
    </row>
    <row r="50" spans="1:26" s="124" customFormat="1">
      <c r="A50" s="1196"/>
      <c r="B50" s="1170"/>
      <c r="C50" s="1173"/>
      <c r="D50" s="1176"/>
      <c r="E50" s="1179"/>
      <c r="F50" s="593" t="s">
        <v>169</v>
      </c>
      <c r="G50" s="594">
        <v>0</v>
      </c>
      <c r="H50" s="595"/>
      <c r="I50" s="596"/>
      <c r="J50" s="597" t="str">
        <f t="shared" si="61"/>
        <v/>
      </c>
      <c r="K50" s="595">
        <v>0</v>
      </c>
      <c r="L50" s="596"/>
      <c r="M50" s="597" t="str">
        <f t="shared" si="62"/>
        <v/>
      </c>
      <c r="N50" s="595">
        <v>2</v>
      </c>
      <c r="O50" s="596">
        <v>1</v>
      </c>
      <c r="P50" s="597">
        <f t="shared" si="63"/>
        <v>0.5</v>
      </c>
      <c r="Q50" s="595">
        <v>5</v>
      </c>
      <c r="R50" s="596">
        <v>2</v>
      </c>
      <c r="S50" s="597">
        <f t="shared" si="64"/>
        <v>0.4</v>
      </c>
      <c r="T50" s="595">
        <v>5</v>
      </c>
      <c r="U50" s="596">
        <v>3</v>
      </c>
      <c r="V50" s="597">
        <f t="shared" si="65"/>
        <v>0.6</v>
      </c>
      <c r="W50" s="595">
        <v>5</v>
      </c>
      <c r="X50" s="596"/>
      <c r="Y50" s="597">
        <f t="shared" si="66"/>
        <v>0</v>
      </c>
      <c r="Z50" s="1249"/>
    </row>
    <row r="51" spans="1:26" s="124" customFormat="1">
      <c r="A51" s="1196"/>
      <c r="B51" s="1171"/>
      <c r="C51" s="1174"/>
      <c r="D51" s="1177"/>
      <c r="E51" s="1180"/>
      <c r="F51" s="297" t="s">
        <v>4</v>
      </c>
      <c r="G51" s="293">
        <f>SUM(G48:G50)</f>
        <v>0</v>
      </c>
      <c r="H51" s="294"/>
      <c r="I51" s="295"/>
      <c r="J51" s="214" t="str">
        <f>IFERROR(AVERAGE(J48:J50),"")</f>
        <v/>
      </c>
      <c r="K51" s="294">
        <f>SUM(K48:K50)</f>
        <v>0</v>
      </c>
      <c r="L51" s="295">
        <f>SUM(L48:L50)</f>
        <v>0</v>
      </c>
      <c r="M51" s="214" t="str">
        <f>IFERROR(AVERAGE(M48:M50),"")</f>
        <v/>
      </c>
      <c r="N51" s="294">
        <f>SUM(N48:N50)</f>
        <v>12</v>
      </c>
      <c r="O51" s="295">
        <f>SUM(O48:O50)</f>
        <v>8</v>
      </c>
      <c r="P51" s="214">
        <f>IFERROR(AVERAGE(P48:P50),"")</f>
        <v>0.6333333333333333</v>
      </c>
      <c r="Q51" s="294">
        <f>SUM(Q48:Q50)</f>
        <v>25</v>
      </c>
      <c r="R51" s="295">
        <f>SUM(R48:R50)</f>
        <v>16</v>
      </c>
      <c r="S51" s="214">
        <f>IFERROR(AVERAGE(S48:S50),"")</f>
        <v>0.6</v>
      </c>
      <c r="T51" s="294">
        <f>SUM(T48:T50)</f>
        <v>25</v>
      </c>
      <c r="U51" s="295">
        <f>SUM(U48:U50)</f>
        <v>22</v>
      </c>
      <c r="V51" s="214">
        <f>IFERROR(AVERAGE(V48:V50),"")</f>
        <v>0.83333333333333337</v>
      </c>
      <c r="W51" s="294">
        <f>SUM(W48:W50)</f>
        <v>25</v>
      </c>
      <c r="X51" s="295">
        <f>SUM(X48:X50)</f>
        <v>0</v>
      </c>
      <c r="Y51" s="214">
        <f>IFERROR(AVERAGE(Y48:Y50),"")</f>
        <v>0</v>
      </c>
      <c r="Z51" s="1241"/>
    </row>
    <row r="52" spans="1:26" s="124" customFormat="1">
      <c r="A52" s="1196"/>
      <c r="B52" s="1170" t="s">
        <v>170</v>
      </c>
      <c r="C52" s="1173"/>
      <c r="D52" s="1176"/>
      <c r="E52" s="1179"/>
      <c r="F52" s="585" t="s">
        <v>168</v>
      </c>
      <c r="G52" s="586">
        <v>0</v>
      </c>
      <c r="H52" s="587"/>
      <c r="I52" s="562"/>
      <c r="J52" s="208" t="str">
        <f t="shared" ref="J52:J53" si="67">IF(H52,MIN(1,I52/H52),"")</f>
        <v/>
      </c>
      <c r="K52" s="587">
        <v>0</v>
      </c>
      <c r="L52" s="562"/>
      <c r="M52" s="208" t="str">
        <f t="shared" ref="M52:M53" si="68">IF(K52,MIN(1,L52/K52),"")</f>
        <v/>
      </c>
      <c r="N52" s="587">
        <v>5</v>
      </c>
      <c r="O52" s="562">
        <v>4</v>
      </c>
      <c r="P52" s="208">
        <f t="shared" ref="P52:P53" si="69">IF(N52,MIN(1,O52/N52),"")</f>
        <v>0.8</v>
      </c>
      <c r="Q52" s="587">
        <v>10</v>
      </c>
      <c r="R52" s="562">
        <v>6</v>
      </c>
      <c r="S52" s="208">
        <f t="shared" ref="S52:S53" si="70">IF(Q52,MIN(1,R52/Q52),"")</f>
        <v>0.6</v>
      </c>
      <c r="T52" s="587">
        <v>10</v>
      </c>
      <c r="U52" s="562">
        <v>9</v>
      </c>
      <c r="V52" s="208">
        <f t="shared" ref="V52:V53" si="71">IF(T52,MIN(1,U52/T52),"")</f>
        <v>0.9</v>
      </c>
      <c r="W52" s="587">
        <v>10</v>
      </c>
      <c r="X52" s="562"/>
      <c r="Y52" s="208">
        <f t="shared" ref="Y52:Y53" si="72">IF(W52,MIN(1,X52/W52),"")</f>
        <v>0</v>
      </c>
      <c r="Z52" s="1248"/>
    </row>
    <row r="53" spans="1:26" s="124" customFormat="1">
      <c r="A53" s="1196"/>
      <c r="B53" s="1170"/>
      <c r="C53" s="1173"/>
      <c r="D53" s="1176"/>
      <c r="E53" s="1179"/>
      <c r="F53" s="593" t="s">
        <v>169</v>
      </c>
      <c r="G53" s="594">
        <v>0</v>
      </c>
      <c r="H53" s="595"/>
      <c r="I53" s="596"/>
      <c r="J53" s="597" t="str">
        <f t="shared" si="67"/>
        <v/>
      </c>
      <c r="K53" s="595">
        <v>0</v>
      </c>
      <c r="L53" s="596"/>
      <c r="M53" s="597" t="str">
        <f t="shared" si="68"/>
        <v/>
      </c>
      <c r="N53" s="595">
        <v>2</v>
      </c>
      <c r="O53" s="596">
        <v>0</v>
      </c>
      <c r="P53" s="597">
        <f t="shared" si="69"/>
        <v>0</v>
      </c>
      <c r="Q53" s="595">
        <v>5</v>
      </c>
      <c r="R53" s="596">
        <v>2</v>
      </c>
      <c r="S53" s="597">
        <f t="shared" si="70"/>
        <v>0.4</v>
      </c>
      <c r="T53" s="595">
        <v>5</v>
      </c>
      <c r="U53" s="596">
        <v>3</v>
      </c>
      <c r="V53" s="597">
        <f t="shared" si="71"/>
        <v>0.6</v>
      </c>
      <c r="W53" s="595">
        <v>5</v>
      </c>
      <c r="X53" s="596"/>
      <c r="Y53" s="597">
        <f t="shared" si="72"/>
        <v>0</v>
      </c>
      <c r="Z53" s="1249"/>
    </row>
    <row r="54" spans="1:26" s="124" customFormat="1" ht="17.25" customHeight="1">
      <c r="A54" s="1196"/>
      <c r="B54" s="1171"/>
      <c r="C54" s="1174"/>
      <c r="D54" s="1177"/>
      <c r="E54" s="1180"/>
      <c r="F54" s="297" t="s">
        <v>4</v>
      </c>
      <c r="G54" s="293">
        <f>SUM(G52:G53)</f>
        <v>0</v>
      </c>
      <c r="H54" s="294"/>
      <c r="I54" s="295"/>
      <c r="J54" s="214" t="str">
        <f>IFERROR(AVERAGE(J52:J53),"")</f>
        <v/>
      </c>
      <c r="K54" s="294">
        <f>SUM(K52:K53)</f>
        <v>0</v>
      </c>
      <c r="L54" s="295">
        <f>SUM(L52:L53)</f>
        <v>0</v>
      </c>
      <c r="M54" s="214" t="str">
        <f>IFERROR(AVERAGE(M52:M53),"")</f>
        <v/>
      </c>
      <c r="N54" s="294">
        <f>SUM(N52:N53)</f>
        <v>7</v>
      </c>
      <c r="O54" s="295">
        <f>SUM(O52:O53)</f>
        <v>4</v>
      </c>
      <c r="P54" s="214">
        <f>IFERROR(AVERAGE(P52:P53),"")</f>
        <v>0.4</v>
      </c>
      <c r="Q54" s="294">
        <f>SUM(Q52:Q53)</f>
        <v>15</v>
      </c>
      <c r="R54" s="295">
        <f>SUM(R52:R53)</f>
        <v>8</v>
      </c>
      <c r="S54" s="214">
        <f>IFERROR(AVERAGE(S52:S53),"")</f>
        <v>0.5</v>
      </c>
      <c r="T54" s="294">
        <f>SUM(T52:T53)</f>
        <v>15</v>
      </c>
      <c r="U54" s="295">
        <f>SUM(U52:U53)</f>
        <v>12</v>
      </c>
      <c r="V54" s="214">
        <f>IFERROR(AVERAGE(V52:V53),"")</f>
        <v>0.75</v>
      </c>
      <c r="W54" s="294">
        <f>SUM(W52:W53)</f>
        <v>15</v>
      </c>
      <c r="X54" s="295">
        <f>SUM(X52:X53)</f>
        <v>0</v>
      </c>
      <c r="Y54" s="214">
        <f>IFERROR(AVERAGE(Y52:Y53),"")</f>
        <v>0</v>
      </c>
      <c r="Z54" s="1241"/>
    </row>
    <row r="55" spans="1:26" s="124" customFormat="1" ht="15" customHeight="1">
      <c r="A55" s="1196"/>
      <c r="B55" s="1183" t="s">
        <v>171</v>
      </c>
      <c r="C55" s="1186" t="s">
        <v>172</v>
      </c>
      <c r="D55" s="1189" t="s">
        <v>173</v>
      </c>
      <c r="E55" s="1192" t="s">
        <v>166</v>
      </c>
      <c r="F55" s="854" t="s">
        <v>174</v>
      </c>
      <c r="G55" s="855">
        <v>0</v>
      </c>
      <c r="H55" s="601"/>
      <c r="I55" s="605"/>
      <c r="J55" s="208" t="str">
        <f>IF(H55,MIN(1,I55/H55),"")</f>
        <v/>
      </c>
      <c r="K55" s="601">
        <v>0</v>
      </c>
      <c r="L55" s="605"/>
      <c r="M55" s="208" t="str">
        <f>IF(K55,MIN(1,L55/K55),"")</f>
        <v/>
      </c>
      <c r="N55" s="862">
        <v>0.6</v>
      </c>
      <c r="O55" s="605">
        <v>0</v>
      </c>
      <c r="P55" s="208">
        <f>IF(N55,MIN(1,O55/N55),"")</f>
        <v>0</v>
      </c>
      <c r="Q55" s="862">
        <v>0.6</v>
      </c>
      <c r="R55" s="605">
        <v>0</v>
      </c>
      <c r="S55" s="208">
        <f>IF(Q55,MIN(1,R55/Q55),"")</f>
        <v>0</v>
      </c>
      <c r="T55" s="862">
        <v>0.6</v>
      </c>
      <c r="U55" s="605"/>
      <c r="V55" s="208"/>
      <c r="W55" s="862">
        <v>0.6</v>
      </c>
      <c r="X55" s="605"/>
      <c r="Y55" s="866">
        <f>IF(W55,MIN(1,X55/W55),"")</f>
        <v>0</v>
      </c>
      <c r="Z55" s="1248"/>
    </row>
    <row r="56" spans="1:26" s="124" customFormat="1">
      <c r="A56" s="1196"/>
      <c r="B56" s="1184"/>
      <c r="C56" s="1187"/>
      <c r="D56" s="1190"/>
      <c r="E56" s="1193"/>
      <c r="F56" s="856" t="s">
        <v>175</v>
      </c>
      <c r="G56" s="857">
        <v>0</v>
      </c>
      <c r="H56" s="602"/>
      <c r="I56" s="606"/>
      <c r="J56" s="592" t="str">
        <f t="shared" ref="J56:J57" si="73">IF(H56,MIN(1,I56/H56),"")</f>
        <v/>
      </c>
      <c r="K56" s="602">
        <v>0</v>
      </c>
      <c r="L56" s="606"/>
      <c r="M56" s="592" t="str">
        <f t="shared" ref="M56:M57" si="74">IF(K56,MIN(1,L56/K56),"")</f>
        <v/>
      </c>
      <c r="N56" s="863">
        <v>0.25</v>
      </c>
      <c r="O56" s="606">
        <v>0</v>
      </c>
      <c r="P56" s="592">
        <f t="shared" ref="P56:P57" si="75">IF(N56,MIN(1,O56/N56),"")</f>
        <v>0</v>
      </c>
      <c r="Q56" s="863">
        <v>0.25</v>
      </c>
      <c r="R56" s="606">
        <v>0</v>
      </c>
      <c r="S56" s="592">
        <f t="shared" ref="S56:S57" si="76">IF(Q56,MIN(1,R56/Q56),"")</f>
        <v>0</v>
      </c>
      <c r="T56" s="863">
        <v>0.25</v>
      </c>
      <c r="U56" s="606"/>
      <c r="V56" s="592"/>
      <c r="W56" s="863">
        <v>0.25</v>
      </c>
      <c r="X56" s="606"/>
      <c r="Y56" s="867">
        <f t="shared" ref="Y56:Y57" si="77">IF(W56,MIN(1,X56/W56),"")</f>
        <v>0</v>
      </c>
      <c r="Z56" s="1249"/>
    </row>
    <row r="57" spans="1:26" s="124" customFormat="1">
      <c r="A57" s="1196"/>
      <c r="B57" s="1184"/>
      <c r="C57" s="1187"/>
      <c r="D57" s="1190"/>
      <c r="E57" s="1193"/>
      <c r="F57" s="858" t="s">
        <v>176</v>
      </c>
      <c r="G57" s="859">
        <v>0</v>
      </c>
      <c r="H57" s="603"/>
      <c r="I57" s="607"/>
      <c r="J57" s="597" t="str">
        <f t="shared" si="73"/>
        <v/>
      </c>
      <c r="K57" s="603">
        <v>0</v>
      </c>
      <c r="L57" s="607"/>
      <c r="M57" s="597" t="str">
        <f t="shared" si="74"/>
        <v/>
      </c>
      <c r="N57" s="864">
        <v>0.1</v>
      </c>
      <c r="O57" s="607">
        <v>0</v>
      </c>
      <c r="P57" s="597">
        <f t="shared" si="75"/>
        <v>0</v>
      </c>
      <c r="Q57" s="864">
        <v>0.1</v>
      </c>
      <c r="R57" s="607">
        <v>0</v>
      </c>
      <c r="S57" s="597">
        <f t="shared" si="76"/>
        <v>0</v>
      </c>
      <c r="T57" s="864">
        <v>0.1</v>
      </c>
      <c r="U57" s="607"/>
      <c r="V57" s="597"/>
      <c r="W57" s="864">
        <v>0.1</v>
      </c>
      <c r="X57" s="607"/>
      <c r="Y57" s="868">
        <f t="shared" si="77"/>
        <v>0</v>
      </c>
      <c r="Z57" s="1249"/>
    </row>
    <row r="58" spans="1:26" s="124" customFormat="1">
      <c r="A58" s="1196"/>
      <c r="B58" s="1185"/>
      <c r="C58" s="1188"/>
      <c r="D58" s="1191"/>
      <c r="E58" s="1194"/>
      <c r="F58" s="860" t="s">
        <v>4</v>
      </c>
      <c r="G58" s="861">
        <f>SUM(G55:G57)</f>
        <v>0</v>
      </c>
      <c r="H58" s="604"/>
      <c r="I58" s="608"/>
      <c r="J58" s="214" t="str">
        <f>IFERROR(AVERAGE(J55:J57),"")</f>
        <v/>
      </c>
      <c r="K58" s="604">
        <f>SUM(K55:K57)</f>
        <v>0</v>
      </c>
      <c r="L58" s="608">
        <f>SUM(L55:L57)</f>
        <v>0</v>
      </c>
      <c r="M58" s="214" t="str">
        <f>IFERROR(AVERAGE(M55:M57),"")</f>
        <v/>
      </c>
      <c r="N58" s="865">
        <f>SUM(N55:N57)</f>
        <v>0.95</v>
      </c>
      <c r="O58" s="608">
        <f>SUM(O55:O57)</f>
        <v>0</v>
      </c>
      <c r="P58" s="214">
        <f>IFERROR(AVERAGE(P55:P57),"")</f>
        <v>0</v>
      </c>
      <c r="Q58" s="865">
        <f>SUM(Q55:Q57)</f>
        <v>0.95</v>
      </c>
      <c r="R58" s="608">
        <f>SUM(R55:R57)</f>
        <v>0</v>
      </c>
      <c r="S58" s="214">
        <f>IFERROR(AVERAGE(S55:S57),"")</f>
        <v>0</v>
      </c>
      <c r="T58" s="865">
        <f>SUM(T55:T57)</f>
        <v>0.95</v>
      </c>
      <c r="U58" s="608"/>
      <c r="V58" s="214"/>
      <c r="W58" s="865">
        <f>SUM(W55:W57)</f>
        <v>0.95</v>
      </c>
      <c r="X58" s="608">
        <f>SUM(X55:X57)</f>
        <v>0</v>
      </c>
      <c r="Y58" s="869">
        <f>IFERROR(AVERAGE(Y55:Y57),"")</f>
        <v>0</v>
      </c>
      <c r="Z58" s="1241"/>
    </row>
    <row r="59" spans="1:26" s="124" customFormat="1" ht="15" customHeight="1">
      <c r="A59" s="1196"/>
      <c r="B59" s="1169" t="s">
        <v>177</v>
      </c>
      <c r="C59" s="1172" t="s">
        <v>172</v>
      </c>
      <c r="D59" s="1175" t="s">
        <v>173</v>
      </c>
      <c r="E59" s="1178" t="s">
        <v>166</v>
      </c>
      <c r="F59" s="585" t="s">
        <v>174</v>
      </c>
      <c r="G59" s="586">
        <v>0</v>
      </c>
      <c r="H59" s="601"/>
      <c r="I59" s="605"/>
      <c r="J59" s="208" t="str">
        <f>IF(H59,MIN(1,I59/H59),"")</f>
        <v/>
      </c>
      <c r="K59" s="601">
        <v>0</v>
      </c>
      <c r="L59" s="605"/>
      <c r="M59" s="208" t="str">
        <f>IF(K59,MIN(1,L59/K59),"")</f>
        <v/>
      </c>
      <c r="N59" s="601">
        <v>0.6</v>
      </c>
      <c r="O59" s="605">
        <v>0.25</v>
      </c>
      <c r="P59" s="208">
        <f>IF(N59,MIN(1,O59/N59),"")</f>
        <v>0.41666666666666669</v>
      </c>
      <c r="Q59" s="601">
        <v>0.6</v>
      </c>
      <c r="R59" s="605">
        <v>0.5</v>
      </c>
      <c r="S59" s="208">
        <f>IF(Q59,MIN(1,R59/Q59),"")</f>
        <v>0.83333333333333337</v>
      </c>
      <c r="T59" s="601">
        <v>0.6</v>
      </c>
      <c r="U59" s="605">
        <v>0.46</v>
      </c>
      <c r="V59" s="208">
        <f>IF(T59,MIN(1,U59/T59),"")</f>
        <v>0.76666666666666672</v>
      </c>
      <c r="W59" s="601">
        <v>0.6</v>
      </c>
      <c r="X59" s="605"/>
      <c r="Y59" s="208">
        <f>IF(W59,MIN(1,X59/W59),"")</f>
        <v>0</v>
      </c>
      <c r="Z59" s="1248"/>
    </row>
    <row r="60" spans="1:26" s="124" customFormat="1">
      <c r="A60" s="1196"/>
      <c r="B60" s="1170"/>
      <c r="C60" s="1173"/>
      <c r="D60" s="1176"/>
      <c r="E60" s="1179"/>
      <c r="F60" s="588" t="s">
        <v>175</v>
      </c>
      <c r="G60" s="589">
        <v>0</v>
      </c>
      <c r="H60" s="602"/>
      <c r="I60" s="606"/>
      <c r="J60" s="592" t="str">
        <f t="shared" ref="J60:J61" si="78">IF(H60,MIN(1,I60/H60),"")</f>
        <v/>
      </c>
      <c r="K60" s="602">
        <v>0</v>
      </c>
      <c r="L60" s="606"/>
      <c r="M60" s="592" t="str">
        <f t="shared" ref="M60:M61" si="79">IF(K60,MIN(1,L60/K60),"")</f>
        <v/>
      </c>
      <c r="N60" s="602">
        <v>0.25</v>
      </c>
      <c r="O60" s="606">
        <v>0.45</v>
      </c>
      <c r="P60" s="592">
        <f t="shared" ref="P60:P61" si="80">IF(N60,MIN(1,O60/N60),"")</f>
        <v>1</v>
      </c>
      <c r="Q60" s="602">
        <v>0.25</v>
      </c>
      <c r="R60" s="606">
        <v>0.36</v>
      </c>
      <c r="S60" s="592">
        <f t="shared" ref="S60:S61" si="81">IF(Q60,MIN(1,R60/Q60),"")</f>
        <v>1</v>
      </c>
      <c r="T60" s="602">
        <v>0.25</v>
      </c>
      <c r="U60" s="606">
        <v>0.39</v>
      </c>
      <c r="V60" s="592">
        <f t="shared" ref="V60:V61" si="82">IF(T60,MIN(1,U60/T60),"")</f>
        <v>1</v>
      </c>
      <c r="W60" s="602">
        <v>0.25</v>
      </c>
      <c r="X60" s="606"/>
      <c r="Y60" s="592">
        <f t="shared" ref="Y60:Y61" si="83">IF(W60,MIN(1,X60/W60),"")</f>
        <v>0</v>
      </c>
      <c r="Z60" s="1249"/>
    </row>
    <row r="61" spans="1:26" s="124" customFormat="1">
      <c r="A61" s="1196"/>
      <c r="B61" s="1170"/>
      <c r="C61" s="1173"/>
      <c r="D61" s="1176"/>
      <c r="E61" s="1179"/>
      <c r="F61" s="593" t="s">
        <v>176</v>
      </c>
      <c r="G61" s="594">
        <v>0</v>
      </c>
      <c r="H61" s="603"/>
      <c r="I61" s="607"/>
      <c r="J61" s="597" t="str">
        <f t="shared" si="78"/>
        <v/>
      </c>
      <c r="K61" s="603">
        <v>0</v>
      </c>
      <c r="L61" s="607"/>
      <c r="M61" s="597" t="str">
        <f t="shared" si="79"/>
        <v/>
      </c>
      <c r="N61" s="603">
        <v>0.1</v>
      </c>
      <c r="O61" s="607">
        <v>0.05</v>
      </c>
      <c r="P61" s="597">
        <f t="shared" si="80"/>
        <v>0.5</v>
      </c>
      <c r="Q61" s="603">
        <v>0.1</v>
      </c>
      <c r="R61" s="607">
        <v>0.13</v>
      </c>
      <c r="S61" s="597">
        <f t="shared" si="81"/>
        <v>1</v>
      </c>
      <c r="T61" s="603">
        <v>0.1</v>
      </c>
      <c r="U61" s="607">
        <v>0.09</v>
      </c>
      <c r="V61" s="597">
        <f t="shared" si="82"/>
        <v>0.89999999999999991</v>
      </c>
      <c r="W61" s="603">
        <v>0.1</v>
      </c>
      <c r="X61" s="607"/>
      <c r="Y61" s="597">
        <f t="shared" si="83"/>
        <v>0</v>
      </c>
      <c r="Z61" s="1249"/>
    </row>
    <row r="62" spans="1:26" s="124" customFormat="1">
      <c r="A62" s="1197"/>
      <c r="B62" s="1171"/>
      <c r="C62" s="1174"/>
      <c r="D62" s="1177"/>
      <c r="E62" s="1180"/>
      <c r="F62" s="297" t="s">
        <v>4</v>
      </c>
      <c r="G62" s="293">
        <f>SUM(G59:G61)</f>
        <v>0</v>
      </c>
      <c r="H62" s="604"/>
      <c r="I62" s="608"/>
      <c r="J62" s="214" t="str">
        <f>IFERROR(AVERAGE(J59:J61),"")</f>
        <v/>
      </c>
      <c r="K62" s="604">
        <f>SUM(K59:K61)</f>
        <v>0</v>
      </c>
      <c r="L62" s="608">
        <f>SUM(L59:L61)</f>
        <v>0</v>
      </c>
      <c r="M62" s="214" t="str">
        <f>IFERROR(AVERAGE(M59:M61),"")</f>
        <v/>
      </c>
      <c r="N62" s="604">
        <f>SUM(N59:N61)</f>
        <v>0.95</v>
      </c>
      <c r="O62" s="608">
        <f>SUM(O59:O61)</f>
        <v>0.75</v>
      </c>
      <c r="P62" s="214">
        <f>IFERROR(AVERAGE(P59:P61),"")</f>
        <v>0.63888888888888895</v>
      </c>
      <c r="Q62" s="604">
        <f>SUM(Q59:Q61)</f>
        <v>0.95</v>
      </c>
      <c r="R62" s="608">
        <f>SUM(R59:R61)</f>
        <v>0.99</v>
      </c>
      <c r="S62" s="214">
        <f>IFERROR(AVERAGE(S59:S61),"")</f>
        <v>0.94444444444444453</v>
      </c>
      <c r="T62" s="604">
        <f>SUM(T59:T61)</f>
        <v>0.95</v>
      </c>
      <c r="U62" s="608">
        <f>SUM(U59:U61)</f>
        <v>0.94000000000000006</v>
      </c>
      <c r="V62" s="214">
        <f>IFERROR(AVERAGE(V59:V61),"")</f>
        <v>0.88888888888888884</v>
      </c>
      <c r="W62" s="604">
        <f>SUM(W59:W61)</f>
        <v>0.95</v>
      </c>
      <c r="X62" s="608">
        <f>SUM(X59:X61)</f>
        <v>0</v>
      </c>
      <c r="Y62" s="214">
        <f>IFERROR(AVERAGE(Y59:Y61),"")</f>
        <v>0</v>
      </c>
      <c r="Z62" s="1241"/>
    </row>
    <row r="63" spans="1:26" s="124" customFormat="1" ht="38.25" customHeight="1">
      <c r="A63" s="1195" t="s">
        <v>178</v>
      </c>
      <c r="B63" s="509" t="s">
        <v>179</v>
      </c>
      <c r="C63" s="455" t="s">
        <v>180</v>
      </c>
      <c r="D63" s="453"/>
      <c r="E63" s="454"/>
      <c r="F63" s="749" t="s">
        <v>181</v>
      </c>
      <c r="G63" s="750">
        <f>SUM(G65:G67)</f>
        <v>194</v>
      </c>
      <c r="H63" s="751"/>
      <c r="I63" s="752"/>
      <c r="J63" s="753" t="str">
        <f>IF(H63,MIN(1,I63/H63),"")</f>
        <v/>
      </c>
      <c r="K63" s="751">
        <f>SUM(K65:K67)</f>
        <v>0</v>
      </c>
      <c r="L63" s="752">
        <f>SUM(L65:L67)</f>
        <v>0</v>
      </c>
      <c r="M63" s="753" t="str">
        <f>IF(K63,MIN(1,L63/K63),"")</f>
        <v/>
      </c>
      <c r="N63" s="751">
        <f>SUM(N65:N67)</f>
        <v>174</v>
      </c>
      <c r="O63" s="752">
        <f>SUM(O65:O67)</f>
        <v>165</v>
      </c>
      <c r="P63" s="753">
        <f>IF(N63,MIN(1,O63/N63),"")</f>
        <v>0.94827586206896552</v>
      </c>
      <c r="Q63" s="754">
        <f>SUM(Q64:Q67)</f>
        <v>999</v>
      </c>
      <c r="R63" s="752">
        <f>SUM(R64:R67)</f>
        <v>1684</v>
      </c>
      <c r="S63" s="753">
        <f>AVERAGE(S64:S67)</f>
        <v>0.25</v>
      </c>
      <c r="T63" s="754">
        <f>SUM(T64:T67)</f>
        <v>1811</v>
      </c>
      <c r="U63" s="752">
        <f>SUM(U64:U67)</f>
        <v>2965</v>
      </c>
      <c r="V63" s="753">
        <f>IF(T63,MIN(1,U63/T63),"")</f>
        <v>1</v>
      </c>
      <c r="W63" s="754">
        <f>SUM(W64:W67)</f>
        <v>0</v>
      </c>
      <c r="X63" s="752">
        <f>SUM(X64:X67)</f>
        <v>0</v>
      </c>
      <c r="Y63" s="753" t="str">
        <f t="shared" ref="Y63:Y66" si="84">IF(W63,MIN(1,X63/W63),"")</f>
        <v/>
      </c>
      <c r="Z63" s="1227" t="s">
        <v>182</v>
      </c>
    </row>
    <row r="64" spans="1:26" s="124" customFormat="1" ht="64.5" customHeight="1">
      <c r="A64" s="1196"/>
      <c r="B64" s="609" t="s">
        <v>183</v>
      </c>
      <c r="C64" s="1254" t="s">
        <v>184</v>
      </c>
      <c r="D64" s="1254" t="s">
        <v>185</v>
      </c>
      <c r="E64" s="1198" t="s">
        <v>186</v>
      </c>
      <c r="F64" s="694" t="s">
        <v>187</v>
      </c>
      <c r="G64" s="744">
        <f>969+6+0+77</f>
        <v>1052</v>
      </c>
      <c r="H64" s="747"/>
      <c r="I64" s="748"/>
      <c r="J64" s="759"/>
      <c r="K64" s="747"/>
      <c r="L64" s="748"/>
      <c r="M64" s="759"/>
      <c r="N64" s="736">
        <v>947</v>
      </c>
      <c r="O64" s="650">
        <f>1007+22+0+68</f>
        <v>1097</v>
      </c>
      <c r="P64" s="651">
        <v>0</v>
      </c>
      <c r="Q64" s="733">
        <v>842</v>
      </c>
      <c r="R64" s="615">
        <v>1511</v>
      </c>
      <c r="S64" s="616">
        <f>IF(Q64, IF(R64 &gt; Q64, 0, 1), "")</f>
        <v>0</v>
      </c>
      <c r="T64" s="733">
        <v>736</v>
      </c>
      <c r="U64" s="615">
        <v>1538</v>
      </c>
      <c r="V64" s="616">
        <f>IF(T64, IF(U64 &gt; T64, 0, 1), "")</f>
        <v>0</v>
      </c>
      <c r="W64" s="733"/>
      <c r="X64" s="615"/>
      <c r="Y64" s="616" t="str">
        <f t="shared" si="84"/>
        <v/>
      </c>
      <c r="Z64" s="1232"/>
    </row>
    <row r="65" spans="1:26" s="124" customFormat="1" ht="64.5" customHeight="1">
      <c r="A65" s="1196"/>
      <c r="B65" s="894" t="s">
        <v>188</v>
      </c>
      <c r="C65" s="1199"/>
      <c r="D65" s="1199"/>
      <c r="E65" s="1199"/>
      <c r="F65" s="694" t="s">
        <v>189</v>
      </c>
      <c r="G65" s="853">
        <f>87+0+0+0</f>
        <v>87</v>
      </c>
      <c r="H65" s="729"/>
      <c r="I65" s="730"/>
      <c r="J65" s="760" t="str">
        <f>IF(H65,MIN(1,I65/H65),"")</f>
        <v/>
      </c>
      <c r="K65" s="729"/>
      <c r="L65" s="730"/>
      <c r="M65" s="760" t="str">
        <f>IF(K65,MIN(1,L65/K65),"")</f>
        <v/>
      </c>
      <c r="N65" s="736">
        <v>78</v>
      </c>
      <c r="O65" s="650">
        <v>49</v>
      </c>
      <c r="P65" s="651">
        <v>1</v>
      </c>
      <c r="Q65" s="733">
        <v>70</v>
      </c>
      <c r="R65" s="615">
        <v>83</v>
      </c>
      <c r="S65" s="616">
        <f>IF(Q65, IF(R65 &gt; Q65, 0, 1), "")</f>
        <v>0</v>
      </c>
      <c r="T65" s="733">
        <v>1000</v>
      </c>
      <c r="U65" s="615">
        <v>1382</v>
      </c>
      <c r="V65" s="616">
        <f t="shared" ref="V65" si="85">IF(T65,MIN(1,U65/T65),"")</f>
        <v>1</v>
      </c>
      <c r="W65" s="733"/>
      <c r="X65" s="615"/>
      <c r="Y65" s="616" t="str">
        <f t="shared" si="84"/>
        <v/>
      </c>
      <c r="Z65" s="1232"/>
    </row>
    <row r="66" spans="1:26" s="124" customFormat="1" ht="64.5" customHeight="1">
      <c r="A66" s="1196"/>
      <c r="B66" s="609" t="s">
        <v>190</v>
      </c>
      <c r="C66" s="1255"/>
      <c r="D66" s="1199"/>
      <c r="E66" s="1199"/>
      <c r="F66" s="693" t="s">
        <v>191</v>
      </c>
      <c r="G66" s="745">
        <f>12+6+3+0</f>
        <v>21</v>
      </c>
      <c r="H66" s="731"/>
      <c r="I66" s="732"/>
      <c r="J66" s="761" t="str">
        <f t="shared" ref="J66:J67" si="86">IF(H66,MIN(1,I66/H66),"")</f>
        <v/>
      </c>
      <c r="K66" s="731"/>
      <c r="L66" s="732"/>
      <c r="M66" s="761" t="str">
        <f t="shared" ref="M66" si="87">IF(K66,MIN(1,L66/K66),"")</f>
        <v/>
      </c>
      <c r="N66" s="737">
        <v>19</v>
      </c>
      <c r="O66" s="591">
        <f>14+0+1+4</f>
        <v>19</v>
      </c>
      <c r="P66" s="592">
        <f t="shared" ref="P66:P69" si="88">IF(N66,MIN(1,O66/N66),"")</f>
        <v>1</v>
      </c>
      <c r="Q66" s="734">
        <v>17</v>
      </c>
      <c r="R66" s="610">
        <v>10</v>
      </c>
      <c r="S66" s="616">
        <f>IF(Q66, IF(R66 &gt; Q66, 0, 1), "")</f>
        <v>1</v>
      </c>
      <c r="T66" s="734">
        <v>15</v>
      </c>
      <c r="U66" s="610">
        <v>15</v>
      </c>
      <c r="V66" s="616">
        <f>IF(T66, IF(U66 &gt; T66, 0, 1), "")</f>
        <v>1</v>
      </c>
      <c r="W66" s="734"/>
      <c r="X66" s="610"/>
      <c r="Y66" s="611" t="str">
        <f t="shared" si="84"/>
        <v/>
      </c>
      <c r="Z66" s="1232"/>
    </row>
    <row r="67" spans="1:26" s="124" customFormat="1" ht="64.5" customHeight="1">
      <c r="A67" s="1197"/>
      <c r="B67" s="612" t="s">
        <v>192</v>
      </c>
      <c r="C67" s="617" t="s">
        <v>193</v>
      </c>
      <c r="D67" s="1200"/>
      <c r="E67" s="1200"/>
      <c r="F67" s="693" t="s">
        <v>194</v>
      </c>
      <c r="G67" s="746">
        <f>45+0+1+40</f>
        <v>86</v>
      </c>
      <c r="H67" s="731"/>
      <c r="I67" s="732"/>
      <c r="J67" s="761" t="str">
        <f t="shared" si="86"/>
        <v/>
      </c>
      <c r="K67" s="731"/>
      <c r="L67" s="732"/>
      <c r="M67" s="761" t="str">
        <f t="shared" si="50"/>
        <v/>
      </c>
      <c r="N67" s="758">
        <v>77</v>
      </c>
      <c r="O67" s="568">
        <f>33+0+1+63</f>
        <v>97</v>
      </c>
      <c r="P67" s="569">
        <f t="shared" si="88"/>
        <v>1</v>
      </c>
      <c r="Q67" s="735">
        <v>70</v>
      </c>
      <c r="R67" s="613">
        <v>80</v>
      </c>
      <c r="S67" s="616">
        <f>IF(Q67, IF(R67 &gt; Q67, 0, 1), "")</f>
        <v>0</v>
      </c>
      <c r="T67" s="735">
        <v>60</v>
      </c>
      <c r="U67" s="613">
        <v>30</v>
      </c>
      <c r="V67" s="616">
        <f>IF(T67, IF(U67 &gt; T67, 0, 1), "")</f>
        <v>1</v>
      </c>
      <c r="W67" s="735"/>
      <c r="X67" s="613"/>
      <c r="Y67" s="614" t="str">
        <f t="shared" ref="Y67:Y72" si="89">IF(W67,MIN(1,X67/W67),"")</f>
        <v/>
      </c>
      <c r="Z67" s="1239"/>
    </row>
    <row r="68" spans="1:26" s="124" customFormat="1" ht="52.5">
      <c r="A68" s="1217" t="s">
        <v>195</v>
      </c>
      <c r="B68" s="1221" t="s">
        <v>196</v>
      </c>
      <c r="C68" s="1178" t="s">
        <v>197</v>
      </c>
      <c r="D68" s="1178" t="s">
        <v>198</v>
      </c>
      <c r="E68" s="1178" t="s">
        <v>186</v>
      </c>
      <c r="F68" s="738" t="s">
        <v>199</v>
      </c>
      <c r="G68" s="741" t="s">
        <v>200</v>
      </c>
      <c r="H68" s="695"/>
      <c r="I68" s="696"/>
      <c r="J68" s="651" t="str">
        <f>IF(H68,MIN(1,I68/H68),"")</f>
        <v/>
      </c>
      <c r="K68" s="695" t="s">
        <v>201</v>
      </c>
      <c r="L68" s="696"/>
      <c r="M68" s="651"/>
      <c r="N68" s="697">
        <v>0</v>
      </c>
      <c r="O68" s="207">
        <v>0</v>
      </c>
      <c r="P68" s="208" t="str">
        <f t="shared" si="88"/>
        <v/>
      </c>
      <c r="Q68" s="620"/>
      <c r="R68" s="207"/>
      <c r="S68" s="208">
        <f>AVERAGE(S69:S72)</f>
        <v>0.75</v>
      </c>
      <c r="T68" s="620"/>
      <c r="U68" s="207"/>
      <c r="V68" s="208">
        <f>AVERAGE(V69:V72)</f>
        <v>0.25</v>
      </c>
      <c r="W68" s="620"/>
      <c r="X68" s="207"/>
      <c r="Y68" s="208" t="str">
        <f t="shared" si="89"/>
        <v/>
      </c>
      <c r="Z68" s="1227"/>
    </row>
    <row r="69" spans="1:26" s="124" customFormat="1">
      <c r="A69" s="1217"/>
      <c r="B69" s="1199"/>
      <c r="C69" s="1199"/>
      <c r="D69" s="1199"/>
      <c r="E69" s="1199"/>
      <c r="F69" s="739" t="s">
        <v>155</v>
      </c>
      <c r="G69" s="742">
        <v>0</v>
      </c>
      <c r="H69" s="625"/>
      <c r="I69" s="625"/>
      <c r="J69" s="592" t="str">
        <f t="shared" ref="J69:J72" si="90">IF(H69,MIN(1,I69/H69),"")</f>
        <v/>
      </c>
      <c r="K69" s="625"/>
      <c r="L69" s="625"/>
      <c r="M69" s="592" t="str">
        <f t="shared" si="50"/>
        <v/>
      </c>
      <c r="N69" s="624">
        <v>0</v>
      </c>
      <c r="O69" s="625">
        <v>2</v>
      </c>
      <c r="P69" s="592" t="str">
        <f t="shared" si="88"/>
        <v/>
      </c>
      <c r="Q69" s="624">
        <v>0</v>
      </c>
      <c r="R69" s="625">
        <v>1</v>
      </c>
      <c r="S69" s="592">
        <f>IF(AND(Q69=0, R69=0), 1, IF(R69 &gt; Q69, 0, ""))</f>
        <v>0</v>
      </c>
      <c r="T69" s="624">
        <v>0</v>
      </c>
      <c r="U69" s="625">
        <v>3</v>
      </c>
      <c r="V69" s="616">
        <v>0</v>
      </c>
      <c r="W69" s="624"/>
      <c r="X69" s="625"/>
      <c r="Y69" s="592" t="str">
        <f t="shared" si="89"/>
        <v/>
      </c>
      <c r="Z69" s="1232"/>
    </row>
    <row r="70" spans="1:26" s="124" customFormat="1">
      <c r="A70" s="1217"/>
      <c r="B70" s="1199"/>
      <c r="C70" s="1199"/>
      <c r="D70" s="1199"/>
      <c r="E70" s="1199"/>
      <c r="F70" s="739" t="s">
        <v>156</v>
      </c>
      <c r="G70" s="742">
        <v>0</v>
      </c>
      <c r="H70" s="625"/>
      <c r="I70" s="625"/>
      <c r="J70" s="592" t="str">
        <f t="shared" si="90"/>
        <v/>
      </c>
      <c r="K70" s="625"/>
      <c r="L70" s="625"/>
      <c r="M70" s="592" t="str">
        <f t="shared" si="50"/>
        <v/>
      </c>
      <c r="N70" s="624">
        <v>0</v>
      </c>
      <c r="O70" s="625">
        <v>0</v>
      </c>
      <c r="P70" s="592">
        <v>1</v>
      </c>
      <c r="Q70" s="624">
        <v>0</v>
      </c>
      <c r="R70" s="625">
        <v>0</v>
      </c>
      <c r="S70" s="592">
        <f>IF(AND(Q70=0, R70=0), 1, IF(R70 &gt; Q70, 0, ""))</f>
        <v>1</v>
      </c>
      <c r="T70" s="624">
        <v>0</v>
      </c>
      <c r="U70" s="625">
        <v>2</v>
      </c>
      <c r="V70" s="616">
        <v>0</v>
      </c>
      <c r="W70" s="624"/>
      <c r="X70" s="625"/>
      <c r="Y70" s="592" t="str">
        <f t="shared" si="89"/>
        <v/>
      </c>
      <c r="Z70" s="1232"/>
    </row>
    <row r="71" spans="1:26" s="124" customFormat="1">
      <c r="A71" s="1217"/>
      <c r="B71" s="1199"/>
      <c r="C71" s="1199"/>
      <c r="D71" s="1199"/>
      <c r="E71" s="1199"/>
      <c r="F71" s="739" t="s">
        <v>143</v>
      </c>
      <c r="G71" s="742" t="s">
        <v>202</v>
      </c>
      <c r="H71" s="625"/>
      <c r="I71" s="625"/>
      <c r="J71" s="592" t="str">
        <f t="shared" si="90"/>
        <v/>
      </c>
      <c r="K71" s="625"/>
      <c r="L71" s="625"/>
      <c r="M71" s="592" t="str">
        <f t="shared" si="50"/>
        <v/>
      </c>
      <c r="N71" s="624">
        <v>0</v>
      </c>
      <c r="O71" s="625">
        <v>0</v>
      </c>
      <c r="P71" s="592">
        <v>1</v>
      </c>
      <c r="Q71" s="624">
        <v>0</v>
      </c>
      <c r="R71" s="625">
        <v>0</v>
      </c>
      <c r="S71" s="592">
        <f>IF(AND(Q71=0, R71=0), 1, IF(R71 &gt; Q71, 0, ""))</f>
        <v>1</v>
      </c>
      <c r="T71" s="624">
        <v>0</v>
      </c>
      <c r="U71" s="625">
        <v>3</v>
      </c>
      <c r="V71" s="592">
        <v>0</v>
      </c>
      <c r="W71" s="624"/>
      <c r="X71" s="625"/>
      <c r="Y71" s="592" t="str">
        <f t="shared" si="89"/>
        <v/>
      </c>
      <c r="Z71" s="1232"/>
    </row>
    <row r="72" spans="1:26" s="124" customFormat="1" ht="18.75" customHeight="1">
      <c r="A72" s="1217"/>
      <c r="B72" s="1200"/>
      <c r="C72" s="1200"/>
      <c r="D72" s="1200"/>
      <c r="E72" s="1200"/>
      <c r="F72" s="740" t="s">
        <v>203</v>
      </c>
      <c r="G72" s="743" t="s">
        <v>202</v>
      </c>
      <c r="H72" s="628"/>
      <c r="I72" s="628"/>
      <c r="J72" s="569" t="str">
        <f t="shared" si="90"/>
        <v/>
      </c>
      <c r="K72" s="628"/>
      <c r="L72" s="628"/>
      <c r="M72" s="569" t="str">
        <f t="shared" si="50"/>
        <v/>
      </c>
      <c r="N72" s="627">
        <v>0</v>
      </c>
      <c r="O72" s="628">
        <v>1</v>
      </c>
      <c r="P72" s="569">
        <v>0</v>
      </c>
      <c r="Q72" s="627">
        <v>0</v>
      </c>
      <c r="R72" s="628">
        <v>0</v>
      </c>
      <c r="S72" s="592">
        <f>IF(AND(Q72=0, R72=0), 1, IF(R72 &gt; Q72, 0, ""))</f>
        <v>1</v>
      </c>
      <c r="T72" s="627">
        <v>0</v>
      </c>
      <c r="U72" s="628">
        <v>0</v>
      </c>
      <c r="V72" s="569">
        <v>1</v>
      </c>
      <c r="W72" s="627"/>
      <c r="X72" s="628"/>
      <c r="Y72" s="569" t="str">
        <f t="shared" si="89"/>
        <v/>
      </c>
      <c r="Z72" s="1232"/>
    </row>
    <row r="73" spans="1:26" s="124" customFormat="1" ht="25" customHeight="1" thickBot="1">
      <c r="A73" s="1167" t="s">
        <v>204</v>
      </c>
      <c r="B73" s="1168"/>
      <c r="C73" s="1168"/>
      <c r="D73" s="1168"/>
      <c r="E73" s="1168"/>
      <c r="F73" s="1168"/>
      <c r="G73" s="1168"/>
      <c r="H73" s="217"/>
      <c r="I73" s="218"/>
      <c r="J73" s="219" t="str">
        <f>IFERROR(AVERAGE(J40:J43,J45,J46,J48:J50,J52,J53,J55:J57,J59:J61,J65:J67,J68:J72),"")</f>
        <v/>
      </c>
      <c r="K73" s="217"/>
      <c r="L73" s="218"/>
      <c r="M73" s="219">
        <f>IFERROR(AVERAGE(M40:M43,M45,M46,M48:M50,M52,M53,M55:M57,M59:M61,M65:M67,M68:M72),"")</f>
        <v>0</v>
      </c>
      <c r="N73" s="217"/>
      <c r="O73" s="218"/>
      <c r="P73" s="219">
        <f>IFERROR(AVERAGE(P44,P47,P51,P54,P58,P62,P63,P68:P72),"")</f>
        <v>0.55860726331990695</v>
      </c>
      <c r="Q73" s="217"/>
      <c r="R73" s="218"/>
      <c r="S73" s="219">
        <f>IFERROR(AVERAGE(S44,S47,S51,S54,S58,S62,S63,S68:S72),"")</f>
        <v>0.63811876780626786</v>
      </c>
      <c r="T73" s="217"/>
      <c r="U73" s="218"/>
      <c r="V73" s="219">
        <f>IFERROR(AVERAGE(V44,V47,V51,V54,V62,V63,V68),"")</f>
        <v>0.76827141112855402</v>
      </c>
      <c r="W73" s="217"/>
      <c r="X73" s="218"/>
      <c r="Y73" s="219">
        <f>IFERROR(AVERAGE(Y44,Y47,Y51,Y54,Y58,Y62,Y63,Y68:Y72),"")</f>
        <v>0</v>
      </c>
      <c r="Z73" s="292"/>
    </row>
    <row r="74" spans="1:26" s="124" customFormat="1" ht="23.5" customHeight="1">
      <c r="A74" s="540" t="s">
        <v>205</v>
      </c>
      <c r="B74" s="541"/>
      <c r="C74" s="541"/>
      <c r="D74" s="541"/>
      <c r="E74" s="541"/>
      <c r="F74" s="541"/>
      <c r="G74" s="541"/>
      <c r="H74" s="542"/>
      <c r="I74" s="541"/>
      <c r="J74" s="543"/>
      <c r="K74" s="542"/>
      <c r="L74" s="541"/>
      <c r="M74" s="543"/>
      <c r="N74" s="542"/>
      <c r="O74" s="541"/>
      <c r="P74" s="543"/>
      <c r="Q74" s="542"/>
      <c r="R74" s="544"/>
      <c r="S74" s="543"/>
      <c r="T74" s="542"/>
      <c r="U74" s="544"/>
      <c r="V74" s="543"/>
      <c r="W74" s="542"/>
      <c r="X74" s="544"/>
      <c r="Y74" s="543"/>
      <c r="Z74" s="545"/>
    </row>
    <row r="75" spans="1:26" s="124" customFormat="1" ht="104.25" customHeight="1">
      <c r="A75" s="1181" t="s">
        <v>206</v>
      </c>
      <c r="B75" s="1257" t="s">
        <v>207</v>
      </c>
      <c r="C75" s="1169" t="s">
        <v>208</v>
      </c>
      <c r="D75" s="1256" t="s">
        <v>209</v>
      </c>
      <c r="E75" s="1256" t="s">
        <v>78</v>
      </c>
      <c r="F75" s="298" t="s">
        <v>210</v>
      </c>
      <c r="G75" s="635">
        <f>SUM(G80:G81)</f>
        <v>0</v>
      </c>
      <c r="H75" s="636"/>
      <c r="I75" s="619"/>
      <c r="J75" s="215" t="str">
        <f t="shared" ref="J75:J78" si="91">IF(H75,MIN(1,I75/H75),"")</f>
        <v/>
      </c>
      <c r="K75" s="636">
        <v>100</v>
      </c>
      <c r="L75" s="619">
        <v>145</v>
      </c>
      <c r="M75" s="215">
        <f t="shared" ref="M75:M85" si="92">IF(K75,MIN(1,L75/K75),"")</f>
        <v>1</v>
      </c>
      <c r="N75" s="692">
        <v>100</v>
      </c>
      <c r="O75" s="619">
        <v>520</v>
      </c>
      <c r="P75" s="215">
        <f t="shared" ref="P75:P85" si="93">IF(N75,MIN(1,O75/N75),"")</f>
        <v>1</v>
      </c>
      <c r="Q75" s="636">
        <v>200</v>
      </c>
      <c r="R75" s="619">
        <f>SUM(R76:R79)</f>
        <v>543</v>
      </c>
      <c r="S75" s="215">
        <f t="shared" ref="S75:S85" si="94">IF(Q75,MIN(1,R75/Q75),"")</f>
        <v>1</v>
      </c>
      <c r="T75" s="636">
        <v>200</v>
      </c>
      <c r="U75" s="619">
        <v>485</v>
      </c>
      <c r="V75" s="215">
        <f t="shared" ref="V75:V85" si="95">IF(T75,MIN(1,U75/T75),"")</f>
        <v>1</v>
      </c>
      <c r="W75" s="636">
        <v>300</v>
      </c>
      <c r="X75" s="619">
        <f t="shared" ref="X75" si="96">SUM(X80:X81)</f>
        <v>0</v>
      </c>
      <c r="Y75" s="215">
        <f t="shared" ref="Y75:Y85" si="97">IF(W75,MIN(1,X75/W75),"")</f>
        <v>0</v>
      </c>
      <c r="Z75" s="1227" t="s">
        <v>211</v>
      </c>
    </row>
    <row r="76" spans="1:26" s="124" customFormat="1" ht="33" customHeight="1">
      <c r="A76" s="1182"/>
      <c r="B76" s="1213"/>
      <c r="C76" s="1213"/>
      <c r="D76" s="1199"/>
      <c r="E76" s="1199"/>
      <c r="F76" s="629" t="s">
        <v>120</v>
      </c>
      <c r="G76" s="586"/>
      <c r="H76" s="565"/>
      <c r="I76" s="562"/>
      <c r="J76" s="208" t="str">
        <f t="shared" si="91"/>
        <v/>
      </c>
      <c r="K76" s="565"/>
      <c r="L76" s="562"/>
      <c r="M76" s="208" t="str">
        <f t="shared" si="92"/>
        <v/>
      </c>
      <c r="N76" s="565"/>
      <c r="O76" s="562">
        <v>73</v>
      </c>
      <c r="P76" s="208" t="str">
        <f t="shared" si="93"/>
        <v/>
      </c>
      <c r="Q76" s="565"/>
      <c r="R76" s="562">
        <v>28</v>
      </c>
      <c r="S76" s="208" t="str">
        <f t="shared" si="94"/>
        <v/>
      </c>
      <c r="T76" s="565"/>
      <c r="U76" s="562">
        <v>23</v>
      </c>
      <c r="V76" s="208" t="str">
        <f t="shared" si="95"/>
        <v/>
      </c>
      <c r="W76" s="565"/>
      <c r="X76" s="562"/>
      <c r="Y76" s="208" t="str">
        <f t="shared" si="97"/>
        <v/>
      </c>
      <c r="Z76" s="1249"/>
    </row>
    <row r="77" spans="1:26" s="124" customFormat="1" ht="43.5" customHeight="1">
      <c r="A77" s="1182"/>
      <c r="B77" s="1213"/>
      <c r="C77" s="1213"/>
      <c r="D77" s="1199"/>
      <c r="E77" s="1199"/>
      <c r="F77" s="630" t="s">
        <v>122</v>
      </c>
      <c r="G77" s="631"/>
      <c r="H77" s="632"/>
      <c r="I77" s="591"/>
      <c r="J77" s="592" t="str">
        <f t="shared" si="91"/>
        <v/>
      </c>
      <c r="K77" s="632"/>
      <c r="L77" s="591"/>
      <c r="M77" s="592" t="str">
        <f t="shared" si="92"/>
        <v/>
      </c>
      <c r="N77" s="632"/>
      <c r="O77" s="591">
        <v>16</v>
      </c>
      <c r="P77" s="592" t="str">
        <f t="shared" si="93"/>
        <v/>
      </c>
      <c r="Q77" s="632"/>
      <c r="R77" s="591">
        <v>11</v>
      </c>
      <c r="S77" s="592" t="str">
        <f t="shared" si="94"/>
        <v/>
      </c>
      <c r="T77" s="632"/>
      <c r="U77" s="591">
        <v>43</v>
      </c>
      <c r="V77" s="592" t="str">
        <f t="shared" si="95"/>
        <v/>
      </c>
      <c r="W77" s="632"/>
      <c r="X77" s="591"/>
      <c r="Y77" s="592" t="str">
        <f t="shared" si="97"/>
        <v/>
      </c>
      <c r="Z77" s="1249"/>
    </row>
    <row r="78" spans="1:26" s="124" customFormat="1" ht="43.5" customHeight="1">
      <c r="A78" s="1182"/>
      <c r="B78" s="1213"/>
      <c r="C78" s="1213"/>
      <c r="D78" s="1199"/>
      <c r="E78" s="1199"/>
      <c r="F78" s="630" t="s">
        <v>123</v>
      </c>
      <c r="G78" s="589"/>
      <c r="H78" s="632"/>
      <c r="I78" s="591"/>
      <c r="J78" s="592" t="str">
        <f t="shared" si="91"/>
        <v/>
      </c>
      <c r="K78" s="632"/>
      <c r="L78" s="591"/>
      <c r="M78" s="592" t="str">
        <f t="shared" si="92"/>
        <v/>
      </c>
      <c r="N78" s="632"/>
      <c r="O78" s="591">
        <v>43</v>
      </c>
      <c r="P78" s="592" t="str">
        <f t="shared" si="93"/>
        <v/>
      </c>
      <c r="Q78" s="632"/>
      <c r="R78" s="591">
        <v>23</v>
      </c>
      <c r="S78" s="592" t="str">
        <f t="shared" si="94"/>
        <v/>
      </c>
      <c r="T78" s="632"/>
      <c r="U78" s="591">
        <v>52</v>
      </c>
      <c r="V78" s="592" t="str">
        <f t="shared" si="95"/>
        <v/>
      </c>
      <c r="W78" s="632"/>
      <c r="X78" s="591"/>
      <c r="Y78" s="592" t="str">
        <f t="shared" si="97"/>
        <v/>
      </c>
      <c r="Z78" s="1249"/>
    </row>
    <row r="79" spans="1:26" s="124" customFormat="1" ht="43.5" customHeight="1">
      <c r="A79" s="1182"/>
      <c r="B79" s="1213"/>
      <c r="C79" s="1213"/>
      <c r="D79" s="1199"/>
      <c r="E79" s="1199"/>
      <c r="F79" s="630" t="s">
        <v>212</v>
      </c>
      <c r="G79" s="589"/>
      <c r="H79" s="632"/>
      <c r="I79" s="591"/>
      <c r="J79" s="592"/>
      <c r="K79" s="632"/>
      <c r="L79" s="591"/>
      <c r="M79" s="592"/>
      <c r="N79" s="632"/>
      <c r="O79" s="591">
        <v>388</v>
      </c>
      <c r="P79" s="592"/>
      <c r="Q79" s="632"/>
      <c r="R79" s="591">
        <v>481</v>
      </c>
      <c r="S79" s="592"/>
      <c r="T79" s="632"/>
      <c r="U79" s="591">
        <v>367</v>
      </c>
      <c r="V79" s="592" t="str">
        <f t="shared" si="95"/>
        <v/>
      </c>
      <c r="W79" s="632"/>
      <c r="X79" s="591"/>
      <c r="Y79" s="592"/>
      <c r="Z79" s="1249"/>
    </row>
    <row r="80" spans="1:26" s="124" customFormat="1" ht="30.65" customHeight="1">
      <c r="A80" s="1182"/>
      <c r="B80" s="1213"/>
      <c r="C80" s="1213"/>
      <c r="D80" s="1199"/>
      <c r="E80" s="1199"/>
      <c r="F80" s="630" t="s">
        <v>107</v>
      </c>
      <c r="G80" s="589"/>
      <c r="H80" s="632"/>
      <c r="I80" s="591"/>
      <c r="J80" s="592" t="str">
        <f t="shared" ref="J80:J85" si="98">IF(H80,MIN(1,I80/H80),"")</f>
        <v/>
      </c>
      <c r="K80" s="632"/>
      <c r="L80" s="591"/>
      <c r="M80" s="592" t="str">
        <f t="shared" ref="M80:M81" si="99">IF(K80,MIN(1,L80/K80),"")</f>
        <v/>
      </c>
      <c r="N80" s="632"/>
      <c r="O80" s="591">
        <v>1479</v>
      </c>
      <c r="P80" s="592" t="str">
        <f t="shared" si="93"/>
        <v/>
      </c>
      <c r="Q80" s="633"/>
      <c r="R80" s="625"/>
      <c r="S80" s="592" t="str">
        <f t="shared" si="94"/>
        <v/>
      </c>
      <c r="T80" s="633"/>
      <c r="U80" s="625">
        <v>823</v>
      </c>
      <c r="V80" s="592" t="str">
        <f t="shared" si="95"/>
        <v/>
      </c>
      <c r="W80" s="633"/>
      <c r="X80" s="625"/>
      <c r="Y80" s="592" t="str">
        <f t="shared" si="97"/>
        <v/>
      </c>
      <c r="Z80" s="1249"/>
    </row>
    <row r="81" spans="1:26" s="124" customFormat="1" ht="27.75" customHeight="1">
      <c r="A81" s="1182"/>
      <c r="B81" s="1213"/>
      <c r="C81" s="1213"/>
      <c r="D81" s="1199"/>
      <c r="E81" s="1199"/>
      <c r="F81" s="870" t="s">
        <v>108</v>
      </c>
      <c r="G81" s="871"/>
      <c r="H81" s="872"/>
      <c r="I81" s="704"/>
      <c r="J81" s="705" t="str">
        <f t="shared" si="98"/>
        <v/>
      </c>
      <c r="K81" s="872"/>
      <c r="L81" s="704"/>
      <c r="M81" s="705" t="str">
        <f t="shared" si="99"/>
        <v/>
      </c>
      <c r="N81" s="872"/>
      <c r="O81" s="704">
        <v>880</v>
      </c>
      <c r="P81" s="705" t="str">
        <f t="shared" si="93"/>
        <v/>
      </c>
      <c r="Q81" s="873"/>
      <c r="R81" s="874"/>
      <c r="S81" s="705" t="str">
        <f t="shared" si="94"/>
        <v/>
      </c>
      <c r="T81" s="873"/>
      <c r="U81" s="874">
        <v>1355</v>
      </c>
      <c r="V81" s="705" t="str">
        <f t="shared" si="95"/>
        <v/>
      </c>
      <c r="X81" s="874"/>
      <c r="Y81" s="705" t="str">
        <f t="shared" si="97"/>
        <v/>
      </c>
      <c r="Z81" s="1249"/>
    </row>
    <row r="82" spans="1:26" s="124" customFormat="1" ht="98">
      <c r="A82" s="851"/>
      <c r="B82" s="877" t="s">
        <v>213</v>
      </c>
      <c r="C82" s="877" t="s">
        <v>214</v>
      </c>
      <c r="D82" s="878" t="s">
        <v>215</v>
      </c>
      <c r="E82" s="878" t="s">
        <v>78</v>
      </c>
      <c r="F82" s="879"/>
      <c r="G82" s="880" t="s">
        <v>216</v>
      </c>
      <c r="H82" s="881"/>
      <c r="I82" s="882"/>
      <c r="J82" s="883"/>
      <c r="K82" s="881"/>
      <c r="L82" s="882"/>
      <c r="M82" s="883"/>
      <c r="N82" s="881"/>
      <c r="O82" s="882"/>
      <c r="P82" s="883"/>
      <c r="Q82" s="884"/>
      <c r="R82" s="885"/>
      <c r="S82" s="883"/>
      <c r="T82" s="897">
        <v>0.85</v>
      </c>
      <c r="U82" s="885"/>
      <c r="V82" s="883"/>
      <c r="W82" s="886"/>
      <c r="X82" s="885"/>
      <c r="Y82" s="883"/>
      <c r="Z82" s="878"/>
    </row>
    <row r="83" spans="1:26" s="124" customFormat="1" ht="90" customHeight="1">
      <c r="A83" s="546" t="s">
        <v>217</v>
      </c>
      <c r="B83" s="1103" t="s">
        <v>218</v>
      </c>
      <c r="C83" s="875"/>
      <c r="D83" s="1104" t="s">
        <v>219</v>
      </c>
      <c r="E83" s="852"/>
      <c r="F83" s="762"/>
      <c r="G83" s="763">
        <v>0</v>
      </c>
      <c r="H83" s="536"/>
      <c r="I83" s="537"/>
      <c r="J83" s="651" t="str">
        <f t="shared" si="98"/>
        <v/>
      </c>
      <c r="K83" s="536">
        <v>1</v>
      </c>
      <c r="L83" s="537">
        <v>6</v>
      </c>
      <c r="M83" s="651">
        <f t="shared" ref="M83:M84" si="100">IF(K83,MIN(1,L83/K83),"")</f>
        <v>1</v>
      </c>
      <c r="N83" s="536">
        <v>1</v>
      </c>
      <c r="O83" s="537">
        <v>2</v>
      </c>
      <c r="P83" s="538">
        <f t="shared" ref="P83:P84" si="101">IF(N83,MIN(1,O83/N83),"")</f>
        <v>1</v>
      </c>
      <c r="Q83" s="536">
        <v>1</v>
      </c>
      <c r="R83" s="537">
        <v>2</v>
      </c>
      <c r="S83" s="538">
        <f t="shared" ref="S83:S84" si="102">IF(Q83,MIN(1,R83/Q83),"")</f>
        <v>1</v>
      </c>
      <c r="T83" s="536">
        <v>1</v>
      </c>
      <c r="U83" s="537">
        <v>1</v>
      </c>
      <c r="V83" s="538">
        <f t="shared" ref="V83:V84" si="103">IF(T83,MIN(1,U83/T83),"")</f>
        <v>1</v>
      </c>
      <c r="W83" s="876">
        <v>1</v>
      </c>
      <c r="X83" s="537"/>
      <c r="Y83" s="538">
        <f t="shared" si="97"/>
        <v>0</v>
      </c>
      <c r="Z83" s="514"/>
    </row>
    <row r="84" spans="1:26" s="124" customFormat="1" ht="41.25" customHeight="1">
      <c r="A84" s="1195" t="s">
        <v>220</v>
      </c>
      <c r="B84" s="640" t="s">
        <v>221</v>
      </c>
      <c r="C84" s="1105" t="s">
        <v>222</v>
      </c>
      <c r="D84" s="1178" t="s">
        <v>219</v>
      </c>
      <c r="E84" s="1178" t="s">
        <v>78</v>
      </c>
      <c r="F84" s="564"/>
      <c r="G84" s="586">
        <v>0</v>
      </c>
      <c r="H84" s="620"/>
      <c r="I84" s="207"/>
      <c r="J84" s="208" t="str">
        <f t="shared" si="98"/>
        <v/>
      </c>
      <c r="K84" s="620">
        <v>1</v>
      </c>
      <c r="L84" s="207"/>
      <c r="M84" s="208">
        <f t="shared" si="100"/>
        <v>0</v>
      </c>
      <c r="N84" s="620">
        <v>2</v>
      </c>
      <c r="O84" s="207">
        <v>2</v>
      </c>
      <c r="P84" s="208">
        <f t="shared" si="101"/>
        <v>1</v>
      </c>
      <c r="Q84" s="620">
        <v>2</v>
      </c>
      <c r="R84" s="207">
        <v>1</v>
      </c>
      <c r="S84" s="208">
        <f t="shared" si="102"/>
        <v>0.5</v>
      </c>
      <c r="T84" s="620">
        <v>1</v>
      </c>
      <c r="U84" s="207">
        <v>0</v>
      </c>
      <c r="V84" s="208">
        <f t="shared" si="103"/>
        <v>0</v>
      </c>
      <c r="W84" s="620">
        <v>2</v>
      </c>
      <c r="X84" s="207"/>
      <c r="Y84" s="208">
        <f t="shared" si="97"/>
        <v>0</v>
      </c>
      <c r="Z84" s="1227" t="s">
        <v>223</v>
      </c>
    </row>
    <row r="85" spans="1:26" s="124" customFormat="1" ht="40.5" customHeight="1">
      <c r="A85" s="1196"/>
      <c r="B85" s="621" t="s">
        <v>224</v>
      </c>
      <c r="C85" s="622" t="s">
        <v>225</v>
      </c>
      <c r="D85" s="1199"/>
      <c r="E85" s="1199"/>
      <c r="F85" s="623"/>
      <c r="G85" s="589">
        <v>0</v>
      </c>
      <c r="H85" s="637"/>
      <c r="I85" s="625"/>
      <c r="J85" s="592" t="str">
        <f t="shared" si="98"/>
        <v/>
      </c>
      <c r="K85" s="637">
        <v>15</v>
      </c>
      <c r="L85" s="625">
        <v>1</v>
      </c>
      <c r="M85" s="592">
        <f t="shared" si="92"/>
        <v>6.6666666666666666E-2</v>
      </c>
      <c r="N85" s="637">
        <v>15</v>
      </c>
      <c r="O85" s="625">
        <v>18</v>
      </c>
      <c r="P85" s="592">
        <f t="shared" si="93"/>
        <v>1</v>
      </c>
      <c r="Q85" s="637">
        <v>15</v>
      </c>
      <c r="R85" s="625">
        <v>15</v>
      </c>
      <c r="S85" s="592">
        <f t="shared" si="94"/>
        <v>1</v>
      </c>
      <c r="T85" s="637">
        <v>15</v>
      </c>
      <c r="U85" s="625">
        <v>15</v>
      </c>
      <c r="V85" s="592">
        <f t="shared" si="95"/>
        <v>1</v>
      </c>
      <c r="W85" s="637">
        <v>15</v>
      </c>
      <c r="X85" s="625"/>
      <c r="Y85" s="592">
        <f t="shared" si="97"/>
        <v>0</v>
      </c>
      <c r="Z85" s="1249"/>
    </row>
    <row r="86" spans="1:26" s="124" customFormat="1" ht="26">
      <c r="A86" s="1197"/>
      <c r="B86" s="626" t="s">
        <v>226</v>
      </c>
      <c r="C86" s="626" t="s">
        <v>227</v>
      </c>
      <c r="D86" s="1200"/>
      <c r="E86" s="1200"/>
      <c r="F86" s="566"/>
      <c r="G86" s="638">
        <v>0</v>
      </c>
      <c r="H86" s="639"/>
      <c r="I86" s="628"/>
      <c r="J86" s="569" t="str">
        <f>IF(H86,MIN(1,I86/H86),"")</f>
        <v/>
      </c>
      <c r="K86" s="639">
        <v>1</v>
      </c>
      <c r="L86" s="628">
        <v>1</v>
      </c>
      <c r="M86" s="569">
        <f>IF(K86,MIN(1,L86/K86),"")</f>
        <v>1</v>
      </c>
      <c r="N86" s="639">
        <v>4</v>
      </c>
      <c r="O86" s="628">
        <v>0</v>
      </c>
      <c r="P86" s="569">
        <f t="shared" ref="P86" si="104">IF(N86,MIN(1,O86/N86),"")</f>
        <v>0</v>
      </c>
      <c r="Q86" s="639">
        <v>4</v>
      </c>
      <c r="R86" s="628">
        <v>4</v>
      </c>
      <c r="S86" s="569">
        <f t="shared" ref="S86" si="105">IF(Q86,MIN(1,R86/Q86),"")</f>
        <v>1</v>
      </c>
      <c r="T86" s="639">
        <v>4</v>
      </c>
      <c r="U86" s="628">
        <v>12</v>
      </c>
      <c r="V86" s="569">
        <f t="shared" ref="V86" si="106">IF(T86,MIN(1,U86/T86),"")</f>
        <v>1</v>
      </c>
      <c r="W86" s="639">
        <v>4</v>
      </c>
      <c r="X86" s="628"/>
      <c r="Y86" s="569">
        <f t="shared" ref="Y86" si="107">IF(W86,MIN(1,X86/W86),"")</f>
        <v>0</v>
      </c>
      <c r="Z86" s="1249"/>
    </row>
    <row r="87" spans="1:26" s="124" customFormat="1" ht="25" customHeight="1" thickBot="1">
      <c r="A87" s="1167" t="s">
        <v>228</v>
      </c>
      <c r="B87" s="1168"/>
      <c r="C87" s="1168"/>
      <c r="D87" s="1168"/>
      <c r="E87" s="1168"/>
      <c r="F87" s="1168"/>
      <c r="G87" s="1168"/>
      <c r="H87" s="217"/>
      <c r="I87" s="218"/>
      <c r="J87" s="219" t="str">
        <f>IFERROR(AVERAGE(J75,J83:J86),"")</f>
        <v/>
      </c>
      <c r="K87" s="217"/>
      <c r="L87" s="218"/>
      <c r="M87" s="219">
        <f>IFERROR(AVERAGE(M75,M83:M86),"")</f>
        <v>0.6133333333333334</v>
      </c>
      <c r="N87" s="217"/>
      <c r="O87" s="218"/>
      <c r="P87" s="219">
        <f>IFERROR(AVERAGE(P75,P83:P86),"")</f>
        <v>0.8</v>
      </c>
      <c r="Q87" s="217"/>
      <c r="R87" s="218"/>
      <c r="S87" s="219">
        <f>IFERROR(AVERAGE(S75,S83:S86),"")</f>
        <v>0.9</v>
      </c>
      <c r="T87" s="217"/>
      <c r="U87" s="218"/>
      <c r="V87" s="219">
        <f>IFERROR(AVERAGE(V75,V83:V86),"")</f>
        <v>0.8</v>
      </c>
      <c r="W87" s="217"/>
      <c r="X87" s="218"/>
      <c r="Y87" s="219">
        <f>IFERROR(AVERAGE(Y75,Y83:Y86),"")</f>
        <v>0</v>
      </c>
      <c r="Z87" s="292"/>
    </row>
    <row r="88" spans="1:26">
      <c r="A88" s="209"/>
      <c r="B88" s="209"/>
      <c r="C88" s="209"/>
      <c r="D88" s="209"/>
      <c r="E88" s="209"/>
      <c r="F88" s="209"/>
      <c r="G88" s="209"/>
      <c r="H88" s="209"/>
      <c r="I88" s="209"/>
      <c r="J88" s="209"/>
      <c r="K88" s="209"/>
      <c r="L88" s="209"/>
      <c r="M88" s="209"/>
      <c r="N88" s="209"/>
      <c r="O88" s="209"/>
      <c r="P88" s="209"/>
      <c r="Q88" s="209"/>
      <c r="R88" s="209"/>
      <c r="S88" s="209"/>
      <c r="T88" s="209"/>
      <c r="U88" s="209"/>
      <c r="V88" s="209"/>
      <c r="W88" s="209"/>
      <c r="X88" s="209"/>
      <c r="Y88" s="209"/>
      <c r="Z88" s="210"/>
    </row>
    <row r="89" spans="1:26" s="124" customFormat="1" ht="25" customHeight="1">
      <c r="A89" s="220"/>
      <c r="B89" s="220"/>
      <c r="C89" s="220"/>
      <c r="D89" s="220"/>
      <c r="E89" s="222" t="s">
        <v>229</v>
      </c>
      <c r="F89" s="222"/>
      <c r="G89" s="221" t="s">
        <v>230</v>
      </c>
      <c r="H89" s="222"/>
      <c r="I89" s="223"/>
      <c r="J89" s="286">
        <f>IFERROR(AVERAGE(J5,J9,J12,J20,J26,J27:J28,J31:J37,J44,J47,J51,J54,J58,J62,J63,J68:J72,J75,J83,J84:J86),"")</f>
        <v>0.25</v>
      </c>
      <c r="K89" s="222"/>
      <c r="L89" s="223"/>
      <c r="M89" s="286">
        <f>IFERROR(AVERAGE(M5,M9,M12,M20,M26,M27:M28,M31:M37,M44,M47,M51,M54,M58,M62,M63,M68:M72,M75,M83,M84:M86),"")</f>
        <v>0.39629629629629631</v>
      </c>
      <c r="N89" s="224"/>
      <c r="O89" s="224"/>
      <c r="P89" s="286">
        <f>IFERROR(AVERAGE(P5,P9,P12,P20,P26,P27:P28,P31:P37,P44,P47,P51,P54,P58,P62,P63,P68:P72,P75,P83,P84:P86),"")</f>
        <v>0.67618661982200423</v>
      </c>
      <c r="Q89" s="224"/>
      <c r="R89" s="224"/>
      <c r="S89" s="286">
        <f>IFERROR(AVERAGE(S6:S8,S11,S12,S18,S15,S23:S25,S27:S28,S31,S32,S35,S44,S47,S51,S54,S58,S62,S64:S67,S68,S75,S83,S84:S86),"")</f>
        <v>0.61840977391783847</v>
      </c>
      <c r="T89" s="224"/>
      <c r="U89" s="224"/>
      <c r="V89" s="286">
        <f>IFERROR(AVERAGE(V6:V8,V11,V12,V18,V15,V23:V25,V27:V28,V31,V32,V35,V44,V47,V51,V54,V62,V64:V67,V68,V75,V83,V84:V86),"")</f>
        <v>0.70274543956043956</v>
      </c>
      <c r="W89" s="224"/>
      <c r="X89" s="224"/>
      <c r="Y89" s="286" t="str">
        <f>IFERROR(AVERAGE(Y5,Y9,Y12,Y20,Y26,Y27:Y28,Y31:Y37,Y44,Y47,Y51,Y54,Y58,Y62,Y63,Y68:Y72,Y75,Y83,Y84:Y86),"")</f>
        <v/>
      </c>
      <c r="Z89" s="224"/>
    </row>
    <row r="90" spans="1:26">
      <c r="A90" s="209"/>
      <c r="B90" s="209"/>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10"/>
    </row>
    <row r="91" spans="1:26">
      <c r="A91" s="209"/>
      <c r="B91" s="209"/>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10"/>
    </row>
    <row r="92" spans="1:26">
      <c r="A92" s="209"/>
      <c r="B92" s="209"/>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10"/>
    </row>
    <row r="93" spans="1:26">
      <c r="A93" s="209"/>
      <c r="B93" s="209"/>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10"/>
    </row>
    <row r="94" spans="1:26">
      <c r="A94" s="209"/>
      <c r="B94" s="209"/>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10"/>
    </row>
    <row r="95" spans="1:26">
      <c r="A95" s="209"/>
      <c r="B95" s="209"/>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10"/>
    </row>
    <row r="96" spans="1:26">
      <c r="A96" s="209"/>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10"/>
    </row>
    <row r="97" spans="1:26">
      <c r="A97" s="209"/>
      <c r="B97" s="209"/>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10"/>
    </row>
    <row r="98" spans="1:26">
      <c r="A98" s="209"/>
      <c r="B98" s="209"/>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10"/>
    </row>
    <row r="99" spans="1:26">
      <c r="A99" s="209"/>
      <c r="B99" s="209"/>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10"/>
    </row>
    <row r="100" spans="1:26">
      <c r="A100" s="2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10"/>
    </row>
    <row r="101" spans="1:26">
      <c r="A101" s="209"/>
      <c r="B101" s="209"/>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10"/>
    </row>
    <row r="102" spans="1:26">
      <c r="A102" s="209"/>
      <c r="B102" s="209"/>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10"/>
    </row>
    <row r="103" spans="1:26">
      <c r="A103" s="209"/>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10"/>
    </row>
    <row r="104" spans="1:26">
      <c r="A104" s="209"/>
      <c r="B104" s="209"/>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10"/>
    </row>
    <row r="105" spans="1:26">
      <c r="A105" s="209"/>
      <c r="B105" s="209"/>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10"/>
    </row>
    <row r="106" spans="1:26">
      <c r="A106" s="209"/>
      <c r="B106" s="209"/>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10"/>
    </row>
    <row r="107" spans="1:26">
      <c r="A107" s="209"/>
      <c r="B107" s="209"/>
      <c r="C107" s="209"/>
      <c r="D107" s="209"/>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10"/>
    </row>
    <row r="108" spans="1:26">
      <c r="A108" s="209"/>
      <c r="B108" s="209"/>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10"/>
    </row>
    <row r="109" spans="1:26">
      <c r="A109" s="209"/>
      <c r="B109" s="209"/>
      <c r="C109" s="209"/>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10"/>
    </row>
    <row r="110" spans="1:26">
      <c r="A110" s="209"/>
      <c r="B110" s="209"/>
      <c r="C110" s="209"/>
      <c r="D110" s="209"/>
      <c r="E110" s="209"/>
      <c r="F110" s="209"/>
      <c r="G110" s="209"/>
      <c r="H110" s="209"/>
      <c r="I110" s="209"/>
      <c r="J110" s="209"/>
      <c r="K110" s="209"/>
      <c r="L110" s="209"/>
      <c r="M110" s="209"/>
      <c r="N110" s="209"/>
      <c r="O110" s="209"/>
      <c r="P110" s="209"/>
      <c r="Q110" s="209"/>
      <c r="R110" s="209"/>
      <c r="S110" s="209"/>
      <c r="T110" s="209"/>
      <c r="U110" s="209"/>
      <c r="V110" s="209"/>
      <c r="W110" s="209"/>
      <c r="X110" s="209"/>
      <c r="Y110" s="209"/>
      <c r="Z110" s="210"/>
    </row>
    <row r="111" spans="1:26">
      <c r="A111" s="209"/>
      <c r="B111" s="209"/>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10"/>
    </row>
    <row r="112" spans="1:26">
      <c r="A112" s="209"/>
      <c r="B112" s="209"/>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10"/>
    </row>
    <row r="113" spans="1:26">
      <c r="A113" s="209"/>
      <c r="B113" s="209"/>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10"/>
    </row>
    <row r="114" spans="1:26">
      <c r="A114" s="209"/>
      <c r="B114" s="209"/>
      <c r="C114" s="209"/>
      <c r="D114" s="209"/>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10"/>
    </row>
    <row r="115" spans="1:26">
      <c r="A115" s="209"/>
      <c r="B115" s="209"/>
      <c r="C115" s="209"/>
      <c r="D115" s="209"/>
      <c r="E115" s="209"/>
      <c r="F115" s="209"/>
      <c r="G115" s="209"/>
      <c r="H115" s="209"/>
      <c r="I115" s="209"/>
      <c r="J115" s="209"/>
      <c r="K115" s="209"/>
      <c r="L115" s="209"/>
      <c r="M115" s="209"/>
      <c r="N115" s="209"/>
      <c r="O115" s="209"/>
      <c r="P115" s="209"/>
      <c r="Q115" s="209"/>
      <c r="R115" s="209"/>
      <c r="S115" s="209"/>
      <c r="T115" s="209"/>
      <c r="U115" s="209"/>
      <c r="V115" s="209"/>
      <c r="W115" s="209"/>
      <c r="X115" s="209"/>
      <c r="Y115" s="209"/>
      <c r="Z115" s="210"/>
    </row>
    <row r="116" spans="1:26">
      <c r="A116" s="209"/>
      <c r="B116" s="209"/>
      <c r="C116" s="209"/>
      <c r="D116" s="209"/>
      <c r="E116" s="209"/>
      <c r="F116" s="209"/>
      <c r="G116" s="209"/>
      <c r="H116" s="209"/>
      <c r="I116" s="209"/>
      <c r="J116" s="209"/>
      <c r="K116" s="209"/>
      <c r="L116" s="209"/>
      <c r="M116" s="209"/>
      <c r="N116" s="209"/>
      <c r="O116" s="209"/>
      <c r="P116" s="209"/>
      <c r="Q116" s="209"/>
      <c r="R116" s="209"/>
      <c r="S116" s="209"/>
      <c r="T116" s="209"/>
      <c r="U116" s="209"/>
      <c r="V116" s="209"/>
      <c r="W116" s="209"/>
      <c r="X116" s="209"/>
      <c r="Y116" s="209"/>
      <c r="Z116" s="210"/>
    </row>
    <row r="117" spans="1:26">
      <c r="A117" s="209"/>
      <c r="B117" s="209"/>
      <c r="C117" s="209"/>
      <c r="D117" s="209"/>
      <c r="E117" s="209"/>
      <c r="F117" s="209"/>
      <c r="G117" s="209"/>
      <c r="H117" s="209"/>
      <c r="I117" s="209"/>
      <c r="J117" s="209"/>
      <c r="K117" s="209"/>
      <c r="L117" s="209"/>
      <c r="M117" s="209"/>
      <c r="N117" s="209"/>
      <c r="O117" s="209"/>
      <c r="P117" s="209"/>
      <c r="Q117" s="209"/>
      <c r="R117" s="209"/>
      <c r="S117" s="209"/>
      <c r="T117" s="209"/>
      <c r="U117" s="209"/>
      <c r="V117" s="209"/>
      <c r="W117" s="209"/>
      <c r="X117" s="209"/>
      <c r="Y117" s="209"/>
      <c r="Z117" s="210"/>
    </row>
    <row r="118" spans="1:26">
      <c r="A118" s="209"/>
      <c r="B118" s="209"/>
      <c r="C118" s="209"/>
      <c r="D118" s="209"/>
      <c r="E118" s="209"/>
      <c r="F118" s="209"/>
      <c r="G118" s="209"/>
      <c r="H118" s="209"/>
      <c r="I118" s="209"/>
      <c r="J118" s="209"/>
      <c r="K118" s="209"/>
      <c r="L118" s="209"/>
      <c r="M118" s="209"/>
      <c r="N118" s="209"/>
      <c r="O118" s="209"/>
      <c r="P118" s="209"/>
      <c r="Q118" s="209"/>
      <c r="R118" s="209"/>
      <c r="S118" s="209"/>
      <c r="T118" s="209"/>
      <c r="U118" s="209"/>
      <c r="V118" s="209"/>
      <c r="W118" s="209"/>
      <c r="X118" s="209"/>
      <c r="Y118" s="209"/>
      <c r="Z118" s="210"/>
    </row>
    <row r="119" spans="1:26">
      <c r="A119" s="209"/>
      <c r="B119" s="209"/>
      <c r="C119" s="209"/>
      <c r="D119" s="209"/>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10"/>
    </row>
    <row r="120" spans="1:26">
      <c r="A120" s="209"/>
      <c r="B120" s="209"/>
      <c r="C120" s="209"/>
      <c r="D120" s="209"/>
      <c r="E120" s="209"/>
      <c r="F120" s="209"/>
      <c r="G120" s="209"/>
      <c r="H120" s="209"/>
      <c r="I120" s="209"/>
      <c r="J120" s="209"/>
      <c r="K120" s="209"/>
      <c r="L120" s="209"/>
      <c r="M120" s="209"/>
      <c r="N120" s="209"/>
      <c r="O120" s="209"/>
      <c r="P120" s="209"/>
      <c r="Q120" s="209"/>
      <c r="R120" s="209"/>
      <c r="S120" s="209"/>
      <c r="T120" s="209"/>
      <c r="U120" s="209"/>
      <c r="V120" s="209"/>
      <c r="W120" s="209"/>
      <c r="X120" s="209"/>
      <c r="Y120" s="209"/>
      <c r="Z120" s="210"/>
    </row>
    <row r="121" spans="1:26">
      <c r="A121" s="209"/>
      <c r="B121" s="209"/>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10"/>
    </row>
    <row r="122" spans="1:26">
      <c r="A122" s="209"/>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10"/>
    </row>
    <row r="123" spans="1:26">
      <c r="A123" s="209"/>
      <c r="B123" s="209"/>
      <c r="C123" s="209"/>
      <c r="D123" s="209"/>
      <c r="E123" s="209"/>
      <c r="F123" s="209"/>
      <c r="G123" s="209"/>
      <c r="H123" s="209"/>
      <c r="I123" s="209"/>
      <c r="J123" s="209"/>
      <c r="K123" s="209"/>
      <c r="L123" s="209"/>
      <c r="M123" s="209"/>
      <c r="N123" s="209"/>
      <c r="O123" s="209"/>
      <c r="P123" s="209"/>
      <c r="Q123" s="209"/>
      <c r="R123" s="209"/>
      <c r="S123" s="209"/>
      <c r="T123" s="209"/>
      <c r="U123" s="209"/>
      <c r="V123" s="209"/>
      <c r="W123" s="209"/>
      <c r="X123" s="209"/>
      <c r="Y123" s="209"/>
      <c r="Z123" s="210"/>
    </row>
    <row r="124" spans="1:26">
      <c r="A124" s="209"/>
      <c r="B124" s="209"/>
      <c r="C124" s="209"/>
      <c r="D124" s="209"/>
      <c r="E124" s="209"/>
      <c r="F124" s="209"/>
      <c r="G124" s="209"/>
      <c r="H124" s="209"/>
      <c r="I124" s="209"/>
      <c r="J124" s="209"/>
      <c r="K124" s="209"/>
      <c r="L124" s="209"/>
      <c r="M124" s="209"/>
      <c r="N124" s="209"/>
      <c r="O124" s="209"/>
      <c r="P124" s="209"/>
      <c r="Q124" s="209"/>
      <c r="R124" s="209"/>
      <c r="S124" s="209"/>
      <c r="T124" s="209"/>
      <c r="U124" s="209"/>
      <c r="V124" s="209"/>
      <c r="W124" s="209"/>
      <c r="X124" s="209"/>
      <c r="Y124" s="209"/>
      <c r="Z124" s="210"/>
    </row>
    <row r="125" spans="1:26">
      <c r="A125" s="209"/>
      <c r="B125" s="209"/>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10"/>
    </row>
    <row r="126" spans="1:26">
      <c r="A126" s="209"/>
      <c r="B126" s="209"/>
      <c r="C126" s="209"/>
      <c r="D126" s="209"/>
      <c r="E126" s="209"/>
      <c r="F126" s="209"/>
      <c r="G126" s="209"/>
      <c r="H126" s="209"/>
      <c r="I126" s="209"/>
      <c r="J126" s="209"/>
      <c r="K126" s="209"/>
      <c r="L126" s="209"/>
      <c r="M126" s="209"/>
      <c r="N126" s="209"/>
      <c r="O126" s="209"/>
      <c r="P126" s="209"/>
      <c r="Q126" s="209"/>
      <c r="R126" s="209"/>
      <c r="S126" s="209"/>
      <c r="T126" s="209"/>
      <c r="U126" s="209"/>
      <c r="V126" s="209"/>
      <c r="W126" s="209"/>
      <c r="X126" s="209"/>
      <c r="Y126" s="209"/>
      <c r="Z126" s="210"/>
    </row>
    <row r="127" spans="1:26">
      <c r="A127" s="209"/>
      <c r="B127" s="209"/>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10"/>
    </row>
    <row r="128" spans="1:26">
      <c r="A128" s="209"/>
      <c r="B128" s="209"/>
      <c r="C128" s="209"/>
      <c r="D128" s="209"/>
      <c r="E128" s="209"/>
      <c r="F128" s="209"/>
      <c r="G128" s="209"/>
      <c r="H128" s="209"/>
      <c r="I128" s="209"/>
      <c r="J128" s="209"/>
      <c r="K128" s="209"/>
      <c r="L128" s="209"/>
      <c r="M128" s="209"/>
      <c r="N128" s="209"/>
      <c r="O128" s="209"/>
      <c r="P128" s="209"/>
      <c r="Q128" s="209"/>
      <c r="R128" s="209"/>
      <c r="S128" s="209"/>
      <c r="T128" s="209"/>
      <c r="U128" s="209"/>
      <c r="V128" s="209"/>
      <c r="W128" s="209"/>
      <c r="X128" s="209"/>
      <c r="Y128" s="209"/>
      <c r="Z128" s="210"/>
    </row>
    <row r="129" spans="1:26">
      <c r="A129" s="209"/>
      <c r="B129" s="209"/>
      <c r="C129" s="209"/>
      <c r="D129" s="209"/>
      <c r="E129" s="209"/>
      <c r="F129" s="209"/>
      <c r="G129" s="209"/>
      <c r="H129" s="209"/>
      <c r="I129" s="209"/>
      <c r="J129" s="209"/>
      <c r="K129" s="209"/>
      <c r="L129" s="209"/>
      <c r="M129" s="209"/>
      <c r="N129" s="209"/>
      <c r="O129" s="209"/>
      <c r="P129" s="209"/>
      <c r="Q129" s="209"/>
      <c r="R129" s="209"/>
      <c r="S129" s="209"/>
      <c r="T129" s="209"/>
      <c r="U129" s="209"/>
      <c r="V129" s="209"/>
      <c r="W129" s="209"/>
      <c r="X129" s="209"/>
      <c r="Y129" s="209"/>
      <c r="Z129" s="210"/>
    </row>
    <row r="130" spans="1:26">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10"/>
    </row>
    <row r="131" spans="1:26">
      <c r="A131" s="209"/>
      <c r="B131" s="209"/>
      <c r="C131" s="209"/>
      <c r="D131" s="209"/>
      <c r="E131" s="209"/>
      <c r="F131" s="209"/>
      <c r="G131" s="209"/>
      <c r="H131" s="209"/>
      <c r="I131" s="209"/>
      <c r="J131" s="209"/>
      <c r="K131" s="209"/>
      <c r="L131" s="209"/>
      <c r="M131" s="209"/>
      <c r="N131" s="209"/>
      <c r="O131" s="209"/>
      <c r="P131" s="209"/>
      <c r="Q131" s="209"/>
      <c r="R131" s="209"/>
      <c r="S131" s="209"/>
      <c r="T131" s="209"/>
      <c r="U131" s="209"/>
      <c r="V131" s="209"/>
      <c r="W131" s="209"/>
      <c r="X131" s="209"/>
      <c r="Y131" s="209"/>
      <c r="Z131" s="210"/>
    </row>
    <row r="132" spans="1:26">
      <c r="A132" s="209"/>
      <c r="B132" s="209"/>
      <c r="C132" s="209"/>
      <c r="D132" s="209"/>
      <c r="E132" s="209"/>
      <c r="F132" s="209"/>
      <c r="G132" s="209"/>
      <c r="H132" s="209"/>
      <c r="I132" s="209"/>
      <c r="J132" s="209"/>
      <c r="K132" s="209"/>
      <c r="L132" s="209"/>
      <c r="M132" s="209"/>
      <c r="N132" s="209"/>
      <c r="O132" s="209"/>
      <c r="P132" s="209"/>
      <c r="Q132" s="209"/>
      <c r="R132" s="209"/>
      <c r="S132" s="209"/>
      <c r="T132" s="209"/>
      <c r="U132" s="209"/>
      <c r="V132" s="209"/>
      <c r="W132" s="209"/>
      <c r="X132" s="209"/>
      <c r="Y132" s="209"/>
      <c r="Z132" s="210"/>
    </row>
    <row r="133" spans="1:26">
      <c r="A133" s="209"/>
      <c r="B133" s="209"/>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10"/>
    </row>
    <row r="134" spans="1:26">
      <c r="A134" s="209"/>
      <c r="B134" s="209"/>
      <c r="C134" s="209"/>
      <c r="D134" s="209"/>
      <c r="E134" s="209"/>
      <c r="F134" s="209"/>
      <c r="G134" s="209"/>
      <c r="H134" s="209"/>
      <c r="I134" s="209"/>
      <c r="J134" s="209"/>
      <c r="K134" s="209"/>
      <c r="L134" s="209"/>
      <c r="M134" s="209"/>
      <c r="N134" s="209"/>
      <c r="O134" s="209"/>
      <c r="P134" s="209"/>
      <c r="Q134" s="209"/>
      <c r="R134" s="209"/>
      <c r="S134" s="209"/>
      <c r="T134" s="209"/>
      <c r="U134" s="209"/>
      <c r="V134" s="209"/>
      <c r="W134" s="209"/>
      <c r="X134" s="209"/>
      <c r="Y134" s="209"/>
      <c r="Z134" s="210"/>
    </row>
    <row r="135" spans="1:26">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10"/>
    </row>
    <row r="136" spans="1:26">
      <c r="A136" s="209"/>
      <c r="B136" s="209"/>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10"/>
    </row>
    <row r="137" spans="1:26">
      <c r="A137" s="209"/>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10"/>
    </row>
    <row r="138" spans="1:26">
      <c r="A138" s="209"/>
      <c r="B138" s="209"/>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10"/>
    </row>
    <row r="139" spans="1:26">
      <c r="A139" s="209"/>
      <c r="B139" s="209"/>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10"/>
    </row>
    <row r="140" spans="1:26">
      <c r="A140" s="2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10"/>
    </row>
    <row r="141" spans="1:26">
      <c r="A141" s="209"/>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10"/>
    </row>
    <row r="142" spans="1:26">
      <c r="A142" s="209"/>
      <c r="B142" s="209"/>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10"/>
    </row>
    <row r="143" spans="1:26">
      <c r="A143" s="20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10"/>
    </row>
    <row r="144" spans="1:26">
      <c r="A144" s="209"/>
      <c r="B144" s="209"/>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10"/>
    </row>
  </sheetData>
  <sheetProtection insertRows="0" deleteRows="0" selectLockedCells="1" sort="0"/>
  <mergeCells count="92">
    <mergeCell ref="Z68:Z72"/>
    <mergeCell ref="Z84:Z86"/>
    <mergeCell ref="A84:A86"/>
    <mergeCell ref="D84:D86"/>
    <mergeCell ref="E84:E86"/>
    <mergeCell ref="E75:E81"/>
    <mergeCell ref="D75:D81"/>
    <mergeCell ref="C75:C81"/>
    <mergeCell ref="B75:B81"/>
    <mergeCell ref="Z75:Z81"/>
    <mergeCell ref="E68:E72"/>
    <mergeCell ref="A73:G73"/>
    <mergeCell ref="A68:A72"/>
    <mergeCell ref="C64:C66"/>
    <mergeCell ref="D64:D67"/>
    <mergeCell ref="B68:B72"/>
    <mergeCell ref="C68:C72"/>
    <mergeCell ref="D68:D72"/>
    <mergeCell ref="Z55:Z58"/>
    <mergeCell ref="Z59:Z62"/>
    <mergeCell ref="Z45:Z46"/>
    <mergeCell ref="Z47:Z51"/>
    <mergeCell ref="B59:B62"/>
    <mergeCell ref="C59:C62"/>
    <mergeCell ref="B45:B47"/>
    <mergeCell ref="C45:C47"/>
    <mergeCell ref="D45:D47"/>
    <mergeCell ref="E45:E47"/>
    <mergeCell ref="D59:D62"/>
    <mergeCell ref="Z23:Z26"/>
    <mergeCell ref="Z27:Z28"/>
    <mergeCell ref="Z40:Z44"/>
    <mergeCell ref="Z63:Z67"/>
    <mergeCell ref="E27:E28"/>
    <mergeCell ref="Z36:Z37"/>
    <mergeCell ref="E59:E62"/>
    <mergeCell ref="E40:E44"/>
    <mergeCell ref="E36:E37"/>
    <mergeCell ref="A38:G38"/>
    <mergeCell ref="B40:B44"/>
    <mergeCell ref="C40:C44"/>
    <mergeCell ref="D40:D44"/>
    <mergeCell ref="A33:A37"/>
    <mergeCell ref="A40:A62"/>
    <mergeCell ref="Z52:Z54"/>
    <mergeCell ref="Z5:Z8"/>
    <mergeCell ref="C16:C19"/>
    <mergeCell ref="D16:D19"/>
    <mergeCell ref="E16:E19"/>
    <mergeCell ref="Z9:Z11"/>
    <mergeCell ref="E13:E15"/>
    <mergeCell ref="D5:D6"/>
    <mergeCell ref="D9:D11"/>
    <mergeCell ref="E9:E11"/>
    <mergeCell ref="C13:C15"/>
    <mergeCell ref="D13:D15"/>
    <mergeCell ref="C36:C37"/>
    <mergeCell ref="D36:D37"/>
    <mergeCell ref="B27:B28"/>
    <mergeCell ref="C27:C28"/>
    <mergeCell ref="D27:D28"/>
    <mergeCell ref="B33:B34"/>
    <mergeCell ref="B36:B37"/>
    <mergeCell ref="W2:X2"/>
    <mergeCell ref="A29:G29"/>
    <mergeCell ref="A23:A26"/>
    <mergeCell ref="E23:E26"/>
    <mergeCell ref="F20:G20"/>
    <mergeCell ref="A5:A20"/>
    <mergeCell ref="B13:B20"/>
    <mergeCell ref="C23:C26"/>
    <mergeCell ref="D23:D26"/>
    <mergeCell ref="A21:G21"/>
    <mergeCell ref="A27:A28"/>
    <mergeCell ref="C5:C8"/>
    <mergeCell ref="B23:B26"/>
    <mergeCell ref="A87:G87"/>
    <mergeCell ref="B48:B51"/>
    <mergeCell ref="C48:C51"/>
    <mergeCell ref="D48:D51"/>
    <mergeCell ref="E48:E51"/>
    <mergeCell ref="B52:B54"/>
    <mergeCell ref="C52:C54"/>
    <mergeCell ref="D52:D54"/>
    <mergeCell ref="A75:A81"/>
    <mergeCell ref="E52:E54"/>
    <mergeCell ref="B55:B58"/>
    <mergeCell ref="C55:C58"/>
    <mergeCell ref="D55:D58"/>
    <mergeCell ref="E55:E58"/>
    <mergeCell ref="A63:A67"/>
    <mergeCell ref="E64:E67"/>
  </mergeCells>
  <pageMargins left="0.7" right="0.7" top="0.75" bottom="0.75" header="0.3" footer="0.3"/>
  <pageSetup orientation="portrait" r:id="rId1"/>
  <ignoredErrors>
    <ignoredError sqref="M26 P26 S26 V26 P51 P62 P5 M15 P44 P47 S47 Y47 P15" formula="1"/>
    <ignoredError sqref="K15 N15 Q15 W15 G15" formulaRange="1"/>
    <ignoredError sqref="K18 N18 Q18 T18 W18 O19 R18 U19 X19 L19 O11"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D4B6-733C-456F-A6E2-9559993359FF}">
  <dimension ref="A1"/>
  <sheetViews>
    <sheetView workbookViewId="0"/>
  </sheetViews>
  <sheetFormatPr defaultRowHeight="14.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BF39-3C75-446F-B204-F436FD5DCE9C}">
  <dimension ref="A1"/>
  <sheetViews>
    <sheetView workbookViewId="0"/>
  </sheetViews>
  <sheetFormatPr defaultRowHeight="14.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D3BA4-7E13-4200-A9B1-B33FB3F59F1F}">
  <sheetPr>
    <tabColor rgb="FFFFFFCC"/>
  </sheetPr>
  <dimension ref="A1:BA204"/>
  <sheetViews>
    <sheetView tabSelected="1" zoomScale="90" zoomScaleNormal="90" workbookViewId="0">
      <pane xSplit="1" ySplit="4" topLeftCell="AJ182" activePane="bottomRight" state="frozen"/>
      <selection pane="topRight" activeCell="B1" sqref="B1"/>
      <selection pane="bottomLeft" activeCell="A5" sqref="A5"/>
      <selection pane="bottomRight" activeCell="A37" sqref="A32:T1048576"/>
    </sheetView>
  </sheetViews>
  <sheetFormatPr defaultColWidth="9.08984375" defaultRowHeight="14.5"/>
  <cols>
    <col min="1" max="1" width="34.90625" style="1091" customWidth="1"/>
    <col min="2" max="2" width="5.7265625" style="1091" customWidth="1"/>
    <col min="3" max="3" width="79.08984375" style="1091" customWidth="1"/>
    <col min="4" max="4" width="17.6328125" style="1091" customWidth="1"/>
    <col min="5" max="8" width="5.08984375" style="1089" customWidth="1"/>
    <col min="9" max="9" width="10.36328125" style="1089" customWidth="1"/>
    <col min="10" max="10" width="9.36328125" style="1089" customWidth="1"/>
    <col min="11" max="11" width="12.08984375" style="1092" customWidth="1"/>
    <col min="12" max="12" width="7.7265625" style="1092" customWidth="1"/>
    <col min="13" max="13" width="15.7265625" style="1091" customWidth="1"/>
    <col min="14" max="14" width="11" style="1091" customWidth="1"/>
    <col min="15" max="15" width="12.90625" style="1091" customWidth="1"/>
    <col min="16" max="16" width="17.7265625" style="1091" customWidth="1"/>
    <col min="17" max="18" width="20.36328125" style="1091" customWidth="1"/>
    <col min="19" max="19" width="24.08984375" style="1091" customWidth="1"/>
    <col min="20" max="20" width="16.90625" style="1091" customWidth="1"/>
    <col min="36" max="36" width="12.90625" customWidth="1"/>
    <col min="49" max="49" width="12.7265625" customWidth="1"/>
    <col min="50" max="50" width="13.6328125" customWidth="1"/>
    <col min="52" max="52" width="13.08984375" customWidth="1"/>
  </cols>
  <sheetData>
    <row r="1" spans="1:20" ht="21.5" thickBot="1">
      <c r="A1" s="188" t="s">
        <v>231</v>
      </c>
      <c r="B1" s="54"/>
      <c r="C1" s="1106"/>
      <c r="D1" s="1106"/>
      <c r="E1" s="55"/>
      <c r="F1" s="55"/>
      <c r="G1" s="55"/>
      <c r="H1" s="55"/>
      <c r="I1" s="55"/>
      <c r="J1" s="55"/>
      <c r="K1" s="1107"/>
      <c r="L1" s="1107"/>
      <c r="M1" s="1106"/>
      <c r="N1" s="1106"/>
      <c r="O1" s="1106"/>
      <c r="P1" s="1106"/>
      <c r="Q1" s="1106"/>
      <c r="R1" s="1106"/>
      <c r="S1" s="1106"/>
      <c r="T1" s="1106"/>
    </row>
    <row r="2" spans="1:20" ht="21.5" thickBot="1">
      <c r="A2" s="1108"/>
      <c r="B2" s="145" t="s">
        <v>232</v>
      </c>
      <c r="C2" s="146"/>
      <c r="D2" s="146"/>
      <c r="E2" s="147"/>
      <c r="F2" s="147"/>
      <c r="G2" s="147"/>
      <c r="H2" s="147"/>
      <c r="I2" s="147"/>
      <c r="J2" s="147"/>
      <c r="K2" s="146"/>
      <c r="L2" s="146"/>
      <c r="M2" s="146"/>
      <c r="N2" s="148"/>
      <c r="O2" s="149" t="s">
        <v>233</v>
      </c>
      <c r="P2" s="150"/>
      <c r="Q2" s="150"/>
      <c r="R2" s="150"/>
      <c r="S2" s="150"/>
      <c r="T2" s="151"/>
    </row>
    <row r="3" spans="1:20" ht="31">
      <c r="A3" s="245" t="s">
        <v>234</v>
      </c>
      <c r="B3" s="1324" t="s">
        <v>235</v>
      </c>
      <c r="C3" s="246" t="s">
        <v>236</v>
      </c>
      <c r="D3" s="1326" t="s">
        <v>237</v>
      </c>
      <c r="E3" s="143" t="s">
        <v>238</v>
      </c>
      <c r="F3" s="144"/>
      <c r="G3" s="144"/>
      <c r="H3" s="355"/>
      <c r="I3" s="144" t="s">
        <v>239</v>
      </c>
      <c r="J3" s="144"/>
      <c r="K3" s="247"/>
      <c r="L3" s="138" t="s">
        <v>240</v>
      </c>
      <c r="M3" s="138" t="s">
        <v>241</v>
      </c>
      <c r="N3" s="1328" t="s">
        <v>242</v>
      </c>
      <c r="O3" s="1330" t="s">
        <v>243</v>
      </c>
      <c r="P3" s="1332" t="s">
        <v>244</v>
      </c>
      <c r="Q3" s="1334" t="s">
        <v>245</v>
      </c>
      <c r="R3" s="1306" t="s">
        <v>246</v>
      </c>
      <c r="S3" s="1308" t="s">
        <v>247</v>
      </c>
      <c r="T3" s="1309"/>
    </row>
    <row r="4" spans="1:20" ht="25.5" customHeight="1">
      <c r="A4" s="248"/>
      <c r="B4" s="1325"/>
      <c r="C4" s="249"/>
      <c r="D4" s="1327"/>
      <c r="E4" s="71" t="s">
        <v>248</v>
      </c>
      <c r="F4" s="72" t="s">
        <v>249</v>
      </c>
      <c r="G4" s="71" t="s">
        <v>250</v>
      </c>
      <c r="H4" s="72" t="s">
        <v>251</v>
      </c>
      <c r="I4" s="354" t="s">
        <v>252</v>
      </c>
      <c r="J4" s="354" t="s">
        <v>253</v>
      </c>
      <c r="K4" s="122" t="s">
        <v>4</v>
      </c>
      <c r="L4" s="121" t="s">
        <v>254</v>
      </c>
      <c r="M4" s="73" t="s">
        <v>255</v>
      </c>
      <c r="N4" s="1329"/>
      <c r="O4" s="1331"/>
      <c r="P4" s="1333"/>
      <c r="Q4" s="1335"/>
      <c r="R4" s="1307"/>
      <c r="S4" s="193" t="s">
        <v>256</v>
      </c>
      <c r="T4" s="194" t="s">
        <v>257</v>
      </c>
    </row>
    <row r="5" spans="1:20" ht="35.25" customHeight="1">
      <c r="A5" s="309" t="s">
        <v>258</v>
      </c>
      <c r="B5" s="310"/>
      <c r="C5" s="310"/>
      <c r="D5" s="74"/>
      <c r="E5" s="74"/>
      <c r="F5" s="74"/>
      <c r="G5" s="74"/>
      <c r="H5" s="74"/>
      <c r="I5" s="75">
        <f>I6+I30+I44+I95</f>
        <v>0</v>
      </c>
      <c r="J5" s="75">
        <f>J6+J30+J44+J95</f>
        <v>0</v>
      </c>
      <c r="K5" s="75">
        <f>K6+K30+K44+K95</f>
        <v>0</v>
      </c>
      <c r="L5" s="135"/>
      <c r="M5" s="76"/>
      <c r="N5" s="77"/>
      <c r="O5" s="78"/>
      <c r="P5" s="76"/>
      <c r="Q5" s="76"/>
      <c r="R5" s="79"/>
      <c r="S5" s="349">
        <f>S6+S30+S44+S95</f>
        <v>0</v>
      </c>
      <c r="T5" s="80">
        <f>T6+T30+T44+T95</f>
        <v>162126.39999999999</v>
      </c>
    </row>
    <row r="6" spans="1:20" ht="35.25" customHeight="1">
      <c r="A6" s="339" t="s">
        <v>114</v>
      </c>
      <c r="B6" s="340"/>
      <c r="C6" s="340"/>
      <c r="D6" s="340"/>
      <c r="E6" s="340"/>
      <c r="F6" s="340"/>
      <c r="G6" s="340"/>
      <c r="H6" s="341"/>
      <c r="I6" s="387">
        <f t="shared" ref="I6:J6" si="0">I7+I18</f>
        <v>0</v>
      </c>
      <c r="J6" s="388">
        <f t="shared" si="0"/>
        <v>0</v>
      </c>
      <c r="K6" s="386">
        <f>K7+K18</f>
        <v>0</v>
      </c>
      <c r="L6" s="342"/>
      <c r="M6" s="343"/>
      <c r="N6" s="344"/>
      <c r="O6" s="345"/>
      <c r="P6" s="346"/>
      <c r="Q6" s="346"/>
      <c r="R6" s="347"/>
      <c r="S6" s="350">
        <f>S7+S18</f>
        <v>0</v>
      </c>
      <c r="T6" s="348">
        <f>T7+T18</f>
        <v>8716.83</v>
      </c>
    </row>
    <row r="7" spans="1:20" ht="30.75" customHeight="1">
      <c r="A7" s="360" t="s">
        <v>259</v>
      </c>
      <c r="B7" s="361"/>
      <c r="C7" s="361"/>
      <c r="D7" s="362"/>
      <c r="E7" s="363" t="s">
        <v>248</v>
      </c>
      <c r="F7" s="364" t="s">
        <v>249</v>
      </c>
      <c r="G7" s="364" t="s">
        <v>250</v>
      </c>
      <c r="H7" s="365" t="s">
        <v>251</v>
      </c>
      <c r="I7" s="389">
        <f t="shared" ref="I7:J7" si="1">I17</f>
        <v>0</v>
      </c>
      <c r="J7" s="384">
        <f t="shared" si="1"/>
        <v>0</v>
      </c>
      <c r="K7" s="385">
        <f>K17</f>
        <v>0</v>
      </c>
      <c r="L7" s="366"/>
      <c r="M7" s="367"/>
      <c r="N7" s="368"/>
      <c r="O7" s="369"/>
      <c r="P7" s="370"/>
      <c r="Q7" s="371"/>
      <c r="R7" s="372"/>
      <c r="S7" s="373">
        <f>S17</f>
        <v>0</v>
      </c>
      <c r="T7" s="374">
        <f>T17</f>
        <v>5891.91</v>
      </c>
    </row>
    <row r="8" spans="1:20" ht="31.5" customHeight="1">
      <c r="A8" s="1301" t="s">
        <v>260</v>
      </c>
      <c r="B8" s="168">
        <v>1</v>
      </c>
      <c r="C8" s="180" t="s">
        <v>261</v>
      </c>
      <c r="D8" s="190"/>
      <c r="E8" s="56"/>
      <c r="F8" s="56"/>
      <c r="G8" s="56"/>
      <c r="H8" s="304"/>
      <c r="I8" s="356">
        <v>0</v>
      </c>
      <c r="J8" s="356">
        <v>0</v>
      </c>
      <c r="K8" s="357">
        <f>I8+J8</f>
        <v>0</v>
      </c>
      <c r="L8" s="182"/>
      <c r="M8" s="110"/>
      <c r="N8" s="172"/>
      <c r="O8" s="58"/>
      <c r="P8" s="108" t="str">
        <f>IF(N8,MIN(1,O8/N8),"")</f>
        <v/>
      </c>
      <c r="Q8" s="1312"/>
      <c r="R8" s="1314"/>
      <c r="S8" s="57"/>
      <c r="T8" s="257">
        <v>0</v>
      </c>
    </row>
    <row r="9" spans="1:20" ht="31.5" customHeight="1">
      <c r="A9" s="1302"/>
      <c r="B9" s="353">
        <f>B8+1</f>
        <v>2</v>
      </c>
      <c r="C9" s="181" t="s">
        <v>262</v>
      </c>
      <c r="D9" s="191"/>
      <c r="E9" s="56"/>
      <c r="F9" s="56"/>
      <c r="G9" s="56"/>
      <c r="H9" s="304"/>
      <c r="I9" s="356">
        <v>0</v>
      </c>
      <c r="J9" s="356"/>
      <c r="K9" s="357">
        <f>I9+J9</f>
        <v>0</v>
      </c>
      <c r="L9" s="183"/>
      <c r="M9" s="110"/>
      <c r="N9" s="172"/>
      <c r="O9" s="58"/>
      <c r="P9" s="108" t="str">
        <f t="shared" ref="P9:P16" si="2">IF(N9,MIN(1,O9/N9),"")</f>
        <v/>
      </c>
      <c r="Q9" s="1313"/>
      <c r="R9" s="1315"/>
      <c r="S9" s="57"/>
      <c r="T9" s="257">
        <v>1193.69</v>
      </c>
    </row>
    <row r="10" spans="1:20" ht="31.5" customHeight="1">
      <c r="A10" s="1302"/>
      <c r="B10" s="353">
        <f t="shared" ref="B10:B16" si="3">B9+1</f>
        <v>3</v>
      </c>
      <c r="C10" s="181" t="s">
        <v>263</v>
      </c>
      <c r="D10" s="191"/>
      <c r="E10" s="56"/>
      <c r="F10" s="56"/>
      <c r="G10" s="56"/>
      <c r="H10" s="304"/>
      <c r="I10" s="356">
        <v>0</v>
      </c>
      <c r="J10" s="356"/>
      <c r="K10" s="357">
        <f t="shared" ref="K10:K16" si="4">I10+J10</f>
        <v>0</v>
      </c>
      <c r="L10" s="183"/>
      <c r="M10" s="110"/>
      <c r="N10" s="172"/>
      <c r="O10" s="58"/>
      <c r="P10" s="108" t="str">
        <f t="shared" si="2"/>
        <v/>
      </c>
      <c r="Q10" s="1313"/>
      <c r="R10" s="1315"/>
      <c r="S10" s="57"/>
      <c r="T10" s="257"/>
    </row>
    <row r="11" spans="1:20" ht="31.5" customHeight="1">
      <c r="A11" s="1302"/>
      <c r="B11" s="353">
        <f t="shared" si="3"/>
        <v>4</v>
      </c>
      <c r="C11" s="181" t="s">
        <v>264</v>
      </c>
      <c r="D11" s="191"/>
      <c r="E11" s="56"/>
      <c r="F11" s="56"/>
      <c r="G11" s="56"/>
      <c r="H11" s="304"/>
      <c r="I11" s="356">
        <v>0</v>
      </c>
      <c r="J11" s="356"/>
      <c r="K11" s="357">
        <f t="shared" si="4"/>
        <v>0</v>
      </c>
      <c r="L11" s="183"/>
      <c r="M11" s="110"/>
      <c r="N11" s="172"/>
      <c r="O11" s="58"/>
      <c r="P11" s="108" t="str">
        <f t="shared" si="2"/>
        <v/>
      </c>
      <c r="Q11" s="1313"/>
      <c r="R11" s="1315"/>
      <c r="S11" s="57"/>
      <c r="T11" s="257"/>
    </row>
    <row r="12" spans="1:20" ht="31.5" customHeight="1">
      <c r="A12" s="1302"/>
      <c r="B12" s="353">
        <f t="shared" si="3"/>
        <v>5</v>
      </c>
      <c r="C12" s="181" t="s">
        <v>265</v>
      </c>
      <c r="D12" s="191"/>
      <c r="E12" s="56"/>
      <c r="F12" s="56"/>
      <c r="G12" s="56"/>
      <c r="H12" s="304"/>
      <c r="I12" s="356">
        <v>0</v>
      </c>
      <c r="J12" s="356"/>
      <c r="K12" s="357">
        <f t="shared" si="4"/>
        <v>0</v>
      </c>
      <c r="L12" s="183"/>
      <c r="M12" s="110"/>
      <c r="N12" s="172"/>
      <c r="O12" s="58"/>
      <c r="P12" s="108" t="str">
        <f t="shared" si="2"/>
        <v/>
      </c>
      <c r="Q12" s="1313"/>
      <c r="R12" s="1315"/>
      <c r="S12" s="57"/>
      <c r="T12" s="257">
        <v>333.84</v>
      </c>
    </row>
    <row r="13" spans="1:20" ht="31.5" customHeight="1">
      <c r="A13" s="1302"/>
      <c r="B13" s="353">
        <f t="shared" si="3"/>
        <v>6</v>
      </c>
      <c r="C13" s="181" t="s">
        <v>266</v>
      </c>
      <c r="D13" s="191"/>
      <c r="E13" s="56"/>
      <c r="F13" s="56"/>
      <c r="G13" s="56"/>
      <c r="H13" s="304"/>
      <c r="I13" s="356">
        <v>0</v>
      </c>
      <c r="J13" s="356"/>
      <c r="K13" s="357">
        <f t="shared" si="4"/>
        <v>0</v>
      </c>
      <c r="L13" s="183"/>
      <c r="M13" s="110"/>
      <c r="N13" s="172"/>
      <c r="O13" s="58"/>
      <c r="P13" s="108" t="str">
        <f t="shared" si="2"/>
        <v/>
      </c>
      <c r="Q13" s="1313"/>
      <c r="R13" s="1315"/>
      <c r="S13" s="57"/>
      <c r="T13" s="257"/>
    </row>
    <row r="14" spans="1:20" ht="31.5" customHeight="1">
      <c r="A14" s="1302"/>
      <c r="B14" s="353">
        <f t="shared" si="3"/>
        <v>7</v>
      </c>
      <c r="C14" s="181" t="s">
        <v>267</v>
      </c>
      <c r="D14" s="191"/>
      <c r="E14" s="56"/>
      <c r="F14" s="56"/>
      <c r="G14" s="56"/>
      <c r="H14" s="304"/>
      <c r="I14" s="356">
        <v>0</v>
      </c>
      <c r="J14" s="356"/>
      <c r="K14" s="357">
        <f t="shared" si="4"/>
        <v>0</v>
      </c>
      <c r="L14" s="183"/>
      <c r="M14" s="110"/>
      <c r="N14" s="172"/>
      <c r="O14" s="58"/>
      <c r="P14" s="108" t="str">
        <f t="shared" si="2"/>
        <v/>
      </c>
      <c r="Q14" s="1313"/>
      <c r="R14" s="1315"/>
      <c r="S14" s="57"/>
      <c r="T14" s="257"/>
    </row>
    <row r="15" spans="1:20" ht="31.5" customHeight="1">
      <c r="A15" s="1302"/>
      <c r="B15" s="353">
        <f t="shared" si="3"/>
        <v>8</v>
      </c>
      <c r="C15" s="181" t="s">
        <v>268</v>
      </c>
      <c r="D15" s="191"/>
      <c r="E15" s="56"/>
      <c r="F15" s="56"/>
      <c r="G15" s="56"/>
      <c r="H15" s="304"/>
      <c r="I15" s="356">
        <v>0</v>
      </c>
      <c r="J15" s="356"/>
      <c r="K15" s="357">
        <f t="shared" si="4"/>
        <v>0</v>
      </c>
      <c r="L15" s="183"/>
      <c r="M15" s="110"/>
      <c r="N15" s="172"/>
      <c r="O15" s="58"/>
      <c r="P15" s="108" t="str">
        <f t="shared" si="2"/>
        <v/>
      </c>
      <c r="Q15" s="1313"/>
      <c r="R15" s="1315"/>
      <c r="S15" s="57"/>
      <c r="T15" s="257">
        <v>2741.76</v>
      </c>
    </row>
    <row r="16" spans="1:20" ht="31.5" customHeight="1">
      <c r="A16" s="1310"/>
      <c r="B16" s="353">
        <f t="shared" si="3"/>
        <v>9</v>
      </c>
      <c r="C16" s="181" t="s">
        <v>269</v>
      </c>
      <c r="D16" s="191"/>
      <c r="E16" s="56"/>
      <c r="F16" s="56"/>
      <c r="G16" s="56"/>
      <c r="H16" s="304"/>
      <c r="I16" s="356">
        <v>0</v>
      </c>
      <c r="J16" s="356"/>
      <c r="K16" s="357">
        <f t="shared" si="4"/>
        <v>0</v>
      </c>
      <c r="L16" s="183"/>
      <c r="M16" s="110"/>
      <c r="N16" s="172"/>
      <c r="O16" s="58"/>
      <c r="P16" s="108" t="str">
        <f t="shared" si="2"/>
        <v/>
      </c>
      <c r="Q16" s="1313"/>
      <c r="R16" s="1315"/>
      <c r="S16" s="57"/>
      <c r="T16" s="257">
        <v>1622.62</v>
      </c>
    </row>
    <row r="17" spans="1:20">
      <c r="A17" s="1311"/>
      <c r="B17" s="65"/>
      <c r="C17" s="66"/>
      <c r="D17" s="189"/>
      <c r="E17" s="67"/>
      <c r="F17" s="67"/>
      <c r="G17" s="67"/>
      <c r="H17" s="66"/>
      <c r="I17" s="359">
        <f t="shared" ref="I17:J17" si="5">SUM(I8:I16)</f>
        <v>0</v>
      </c>
      <c r="J17" s="359">
        <f t="shared" si="5"/>
        <v>0</v>
      </c>
      <c r="K17" s="358">
        <f>SUM(K8:K16)</f>
        <v>0</v>
      </c>
      <c r="L17" s="139"/>
      <c r="M17" s="111"/>
      <c r="N17" s="173">
        <f>SUM(N8:N16)</f>
        <v>0</v>
      </c>
      <c r="O17" s="68">
        <f>SUM(O8:O16)</f>
        <v>0</v>
      </c>
      <c r="P17" s="69" t="str">
        <f>IFERROR(AVERAGE(P8:P16),"")</f>
        <v/>
      </c>
      <c r="Q17" s="380" t="str">
        <f>IFERROR(AVERAGE(P8:P16),"")</f>
        <v/>
      </c>
      <c r="R17" s="1315"/>
      <c r="S17" s="352">
        <f>SUM(S8:S16)</f>
        <v>0</v>
      </c>
      <c r="T17" s="70">
        <f>SUM(T8:T16)</f>
        <v>5891.91</v>
      </c>
    </row>
    <row r="18" spans="1:20" ht="30.75" customHeight="1">
      <c r="A18" s="360" t="s">
        <v>270</v>
      </c>
      <c r="B18" s="361"/>
      <c r="C18" s="361"/>
      <c r="D18" s="362"/>
      <c r="E18" s="363" t="s">
        <v>248</v>
      </c>
      <c r="F18" s="364" t="s">
        <v>249</v>
      </c>
      <c r="G18" s="364" t="s">
        <v>250</v>
      </c>
      <c r="H18" s="365" t="s">
        <v>251</v>
      </c>
      <c r="I18" s="389">
        <f t="shared" ref="I18:J18" si="6">I20+I25+I29</f>
        <v>0</v>
      </c>
      <c r="J18" s="384">
        <f t="shared" si="6"/>
        <v>0</v>
      </c>
      <c r="K18" s="385">
        <f>K20+K25+K29</f>
        <v>0</v>
      </c>
      <c r="L18" s="366"/>
      <c r="M18" s="367"/>
      <c r="N18" s="368"/>
      <c r="O18" s="369"/>
      <c r="P18" s="370"/>
      <c r="Q18" s="371"/>
      <c r="R18" s="1315"/>
      <c r="S18" s="373">
        <f t="shared" ref="S18:T18" si="7">S20+S25+S29</f>
        <v>0</v>
      </c>
      <c r="T18" s="374">
        <f t="shared" si="7"/>
        <v>2824.92</v>
      </c>
    </row>
    <row r="19" spans="1:20" ht="31.5" customHeight="1">
      <c r="A19" s="1317" t="s">
        <v>271</v>
      </c>
      <c r="B19" s="168">
        <f>B16+1</f>
        <v>10</v>
      </c>
      <c r="C19" s="180" t="s">
        <v>272</v>
      </c>
      <c r="D19" s="190"/>
      <c r="E19" s="56"/>
      <c r="F19" s="56"/>
      <c r="G19" s="56"/>
      <c r="H19" s="304"/>
      <c r="I19" s="356">
        <v>0</v>
      </c>
      <c r="J19" s="356"/>
      <c r="K19" s="357">
        <f>I19+J19</f>
        <v>0</v>
      </c>
      <c r="L19" s="182"/>
      <c r="M19" s="110"/>
      <c r="N19" s="172"/>
      <c r="O19" s="58">
        <v>0</v>
      </c>
      <c r="P19" s="376" t="str">
        <f>IF(N19,MIN(1,O19/N19),"")</f>
        <v/>
      </c>
      <c r="Q19" s="1318"/>
      <c r="R19" s="1315"/>
      <c r="S19" s="57"/>
      <c r="T19" s="257"/>
    </row>
    <row r="20" spans="1:20">
      <c r="A20" s="1311"/>
      <c r="B20" s="65"/>
      <c r="C20" s="66"/>
      <c r="D20" s="189"/>
      <c r="E20" s="67"/>
      <c r="F20" s="67"/>
      <c r="G20" s="67"/>
      <c r="H20" s="66"/>
      <c r="I20" s="359">
        <f t="shared" ref="I20:J20" si="8">SUM(I19:I19)</f>
        <v>0</v>
      </c>
      <c r="J20" s="359">
        <f t="shared" si="8"/>
        <v>0</v>
      </c>
      <c r="K20" s="123">
        <f>SUM(K19:K19)</f>
        <v>0</v>
      </c>
      <c r="L20" s="139"/>
      <c r="M20" s="111"/>
      <c r="N20" s="173">
        <f>SUM(N19:N19)</f>
        <v>0</v>
      </c>
      <c r="O20" s="68">
        <f>SUM(O19:O19)</f>
        <v>0</v>
      </c>
      <c r="P20" s="377" t="str">
        <f>IFERROR(AVERAGE(P19:P19),"")</f>
        <v/>
      </c>
      <c r="Q20" s="1319"/>
      <c r="R20" s="1315"/>
      <c r="S20" s="352">
        <f>SUM(S19:S19)</f>
        <v>0</v>
      </c>
      <c r="T20" s="70">
        <f>SUM(T19:T19)</f>
        <v>0</v>
      </c>
    </row>
    <row r="21" spans="1:20" ht="31.5" customHeight="1">
      <c r="A21" s="1321" t="s">
        <v>273</v>
      </c>
      <c r="B21" s="168">
        <f>B19+1</f>
        <v>11</v>
      </c>
      <c r="C21" s="180" t="s">
        <v>274</v>
      </c>
      <c r="D21" s="190"/>
      <c r="E21" s="59"/>
      <c r="F21" s="59"/>
      <c r="G21" s="59"/>
      <c r="H21" s="305"/>
      <c r="I21" s="356">
        <v>0</v>
      </c>
      <c r="J21" s="356">
        <v>0</v>
      </c>
      <c r="K21" s="357">
        <f t="shared" ref="K21:K24" si="9">I21+J21</f>
        <v>0</v>
      </c>
      <c r="L21" s="182"/>
      <c r="M21" s="112"/>
      <c r="N21" s="174"/>
      <c r="O21" s="58"/>
      <c r="P21" s="108" t="str">
        <f t="shared" ref="P21:P24" si="10">IF(N21,MIN(1,O21/N21),"")</f>
        <v/>
      </c>
      <c r="Q21" s="1319"/>
      <c r="R21" s="1315"/>
      <c r="S21" s="57"/>
      <c r="T21" s="258"/>
    </row>
    <row r="22" spans="1:20" ht="31.5" customHeight="1">
      <c r="A22" s="1322"/>
      <c r="B22" s="353">
        <f>B21+1</f>
        <v>12</v>
      </c>
      <c r="C22" s="181" t="s">
        <v>275</v>
      </c>
      <c r="D22" s="191"/>
      <c r="E22" s="61"/>
      <c r="F22" s="61"/>
      <c r="G22" s="61"/>
      <c r="H22" s="60"/>
      <c r="I22" s="356">
        <v>0</v>
      </c>
      <c r="J22" s="356"/>
      <c r="K22" s="357">
        <f t="shared" si="9"/>
        <v>0</v>
      </c>
      <c r="L22" s="183"/>
      <c r="M22" s="110"/>
      <c r="N22" s="172"/>
      <c r="O22" s="58"/>
      <c r="P22" s="108" t="str">
        <f t="shared" si="10"/>
        <v/>
      </c>
      <c r="Q22" s="1319"/>
      <c r="R22" s="1315"/>
      <c r="S22" s="57"/>
      <c r="T22" s="257"/>
    </row>
    <row r="23" spans="1:20" ht="31.5" customHeight="1">
      <c r="A23" s="1322"/>
      <c r="B23" s="353">
        <f t="shared" ref="B23:B24" si="11">B22+1</f>
        <v>13</v>
      </c>
      <c r="C23" s="181" t="s">
        <v>276</v>
      </c>
      <c r="D23" s="191"/>
      <c r="E23" s="61"/>
      <c r="F23" s="61"/>
      <c r="G23" s="55"/>
      <c r="H23" s="306"/>
      <c r="I23" s="356">
        <v>0</v>
      </c>
      <c r="J23" s="356"/>
      <c r="K23" s="357">
        <f t="shared" si="9"/>
        <v>0</v>
      </c>
      <c r="L23" s="183"/>
      <c r="M23" s="110"/>
      <c r="N23" s="172"/>
      <c r="O23" s="58"/>
      <c r="P23" s="108" t="str">
        <f t="shared" si="10"/>
        <v/>
      </c>
      <c r="Q23" s="1319"/>
      <c r="R23" s="1315"/>
      <c r="S23" s="57"/>
      <c r="T23" s="257">
        <v>1320.73</v>
      </c>
    </row>
    <row r="24" spans="1:20" ht="31.5" customHeight="1">
      <c r="A24" s="1322"/>
      <c r="B24" s="353">
        <f t="shared" si="11"/>
        <v>14</v>
      </c>
      <c r="C24" s="181" t="s">
        <v>277</v>
      </c>
      <c r="D24" s="192"/>
      <c r="E24" s="61"/>
      <c r="F24" s="61"/>
      <c r="G24" s="55"/>
      <c r="H24" s="306"/>
      <c r="I24" s="356">
        <v>0</v>
      </c>
      <c r="J24" s="356"/>
      <c r="K24" s="357">
        <f t="shared" si="9"/>
        <v>0</v>
      </c>
      <c r="L24" s="184"/>
      <c r="M24" s="110"/>
      <c r="N24" s="174"/>
      <c r="O24" s="58"/>
      <c r="P24" s="108" t="str">
        <f t="shared" si="10"/>
        <v/>
      </c>
      <c r="Q24" s="1319"/>
      <c r="R24" s="1315"/>
      <c r="S24" s="57"/>
      <c r="T24" s="257">
        <v>1504.19</v>
      </c>
    </row>
    <row r="25" spans="1:20">
      <c r="A25" s="1323"/>
      <c r="B25" s="65"/>
      <c r="C25" s="66"/>
      <c r="D25" s="67"/>
      <c r="E25" s="67"/>
      <c r="F25" s="67"/>
      <c r="G25" s="67"/>
      <c r="H25" s="66"/>
      <c r="I25" s="359">
        <f t="shared" ref="I25:J25" si="12">SUM(I21:I24)</f>
        <v>0</v>
      </c>
      <c r="J25" s="359">
        <f t="shared" si="12"/>
        <v>0</v>
      </c>
      <c r="K25" s="358">
        <f>SUM(K21:K24)</f>
        <v>0</v>
      </c>
      <c r="L25" s="139"/>
      <c r="M25" s="111"/>
      <c r="N25" s="173">
        <f>SUM(N21:N24)</f>
        <v>0</v>
      </c>
      <c r="O25" s="68">
        <f>SUM(O21:O24)</f>
        <v>0</v>
      </c>
      <c r="P25" s="377" t="str">
        <f>IFERROR(AVERAGE(P21:P24),"")</f>
        <v/>
      </c>
      <c r="Q25" s="1319"/>
      <c r="R25" s="1315"/>
      <c r="S25" s="352">
        <f>SUM(S21:S24)</f>
        <v>0</v>
      </c>
      <c r="T25" s="70">
        <f>SUM(T21:T24)</f>
        <v>2824.92</v>
      </c>
    </row>
    <row r="26" spans="1:20" ht="31.5" customHeight="1">
      <c r="A26" s="1321" t="s">
        <v>278</v>
      </c>
      <c r="B26" s="168">
        <f>B24+1</f>
        <v>15</v>
      </c>
      <c r="C26" s="180" t="s">
        <v>279</v>
      </c>
      <c r="D26" s="190"/>
      <c r="E26" s="59"/>
      <c r="F26" s="59"/>
      <c r="G26" s="59"/>
      <c r="H26" s="305"/>
      <c r="I26" s="356">
        <v>0</v>
      </c>
      <c r="J26" s="356"/>
      <c r="K26" s="357">
        <f t="shared" ref="K26:K28" si="13">I26+J26</f>
        <v>0</v>
      </c>
      <c r="L26" s="182"/>
      <c r="M26" s="112"/>
      <c r="N26" s="174"/>
      <c r="O26" s="58"/>
      <c r="P26" s="108" t="str">
        <f t="shared" ref="P26:P28" si="14">IF(N26,MIN(1,O26/N26),"")</f>
        <v/>
      </c>
      <c r="Q26" s="1319"/>
      <c r="R26" s="1315"/>
      <c r="S26" s="57"/>
      <c r="T26" s="258"/>
    </row>
    <row r="27" spans="1:20" ht="31.5" customHeight="1">
      <c r="A27" s="1322"/>
      <c r="B27" s="353">
        <f>B26+1</f>
        <v>16</v>
      </c>
      <c r="C27" s="181" t="s">
        <v>280</v>
      </c>
      <c r="D27" s="191"/>
      <c r="E27" s="61"/>
      <c r="F27" s="61"/>
      <c r="G27" s="61"/>
      <c r="H27" s="60"/>
      <c r="I27" s="356">
        <v>0</v>
      </c>
      <c r="J27" s="356"/>
      <c r="K27" s="357">
        <f t="shared" si="13"/>
        <v>0</v>
      </c>
      <c r="L27" s="183"/>
      <c r="M27" s="110"/>
      <c r="N27" s="172"/>
      <c r="O27" s="58"/>
      <c r="P27" s="108" t="str">
        <f t="shared" si="14"/>
        <v/>
      </c>
      <c r="Q27" s="1319"/>
      <c r="R27" s="1315"/>
      <c r="S27" s="57"/>
      <c r="T27" s="257"/>
    </row>
    <row r="28" spans="1:20" ht="31.5" customHeight="1">
      <c r="A28" s="1322"/>
      <c r="B28" s="353">
        <f t="shared" ref="B28" si="15">B27+1</f>
        <v>17</v>
      </c>
      <c r="C28" s="181" t="s">
        <v>281</v>
      </c>
      <c r="D28" s="191"/>
      <c r="E28" s="61"/>
      <c r="F28" s="61"/>
      <c r="G28" s="55"/>
      <c r="H28" s="306"/>
      <c r="I28" s="356">
        <v>0</v>
      </c>
      <c r="J28" s="356"/>
      <c r="K28" s="357">
        <f t="shared" si="13"/>
        <v>0</v>
      </c>
      <c r="L28" s="183"/>
      <c r="M28" s="110"/>
      <c r="N28" s="172"/>
      <c r="O28" s="58"/>
      <c r="P28" s="378" t="str">
        <f t="shared" si="14"/>
        <v/>
      </c>
      <c r="Q28" s="1320"/>
      <c r="R28" s="1316"/>
      <c r="S28" s="57"/>
      <c r="T28" s="257"/>
    </row>
    <row r="29" spans="1:20">
      <c r="A29" s="1323"/>
      <c r="B29" s="65"/>
      <c r="C29" s="66"/>
      <c r="D29" s="67"/>
      <c r="E29" s="67"/>
      <c r="F29" s="67"/>
      <c r="G29" s="67"/>
      <c r="H29" s="66"/>
      <c r="I29" s="359">
        <f>SUM(I26:I28)</f>
        <v>0</v>
      </c>
      <c r="J29" s="359">
        <f>SUM(J26:J28)</f>
        <v>0</v>
      </c>
      <c r="K29" s="358">
        <f>SUM(K26:K28)</f>
        <v>0</v>
      </c>
      <c r="L29" s="139"/>
      <c r="M29" s="111"/>
      <c r="N29" s="173">
        <f>SUM(N26:N28)</f>
        <v>0</v>
      </c>
      <c r="O29" s="68">
        <f>SUM(O26:O28)</f>
        <v>0</v>
      </c>
      <c r="P29" s="69" t="str">
        <f>IFERROR(AVERAGE(P26:P28),"")</f>
        <v/>
      </c>
      <c r="Q29" s="272" t="str">
        <f>IFERROR(AVERAGE(P19,P21:P24,P26:P28),"")</f>
        <v/>
      </c>
      <c r="R29" s="272">
        <f>IFERROR(AVERAGE(P8:P16,P19,,P21:P24,P26:P28),"")</f>
        <v>0</v>
      </c>
      <c r="S29" s="352">
        <f>SUM(S26:S28)</f>
        <v>0</v>
      </c>
      <c r="T29" s="70">
        <f>SUM(T26:T28)</f>
        <v>0</v>
      </c>
    </row>
    <row r="30" spans="1:20" ht="35.25" customHeight="1">
      <c r="A30" s="339" t="s">
        <v>282</v>
      </c>
      <c r="B30" s="340"/>
      <c r="C30" s="340"/>
      <c r="D30" s="340"/>
      <c r="E30" s="340"/>
      <c r="F30" s="340"/>
      <c r="G30" s="340"/>
      <c r="H30" s="341"/>
      <c r="I30" s="387">
        <f t="shared" ref="I30:J30" si="16">I31+I36</f>
        <v>0</v>
      </c>
      <c r="J30" s="388">
        <f t="shared" si="16"/>
        <v>0</v>
      </c>
      <c r="K30" s="386">
        <f>K31+K36</f>
        <v>0</v>
      </c>
      <c r="L30" s="342"/>
      <c r="M30" s="343"/>
      <c r="N30" s="344"/>
      <c r="O30" s="345"/>
      <c r="P30" s="346"/>
      <c r="Q30" s="346"/>
      <c r="R30" s="347"/>
      <c r="S30" s="350">
        <f t="shared" ref="S30:T30" si="17">S31+S36</f>
        <v>0</v>
      </c>
      <c r="T30" s="348">
        <f t="shared" si="17"/>
        <v>13925.6</v>
      </c>
    </row>
    <row r="31" spans="1:20" ht="30.75" customHeight="1">
      <c r="A31" s="360" t="s">
        <v>283</v>
      </c>
      <c r="B31" s="361"/>
      <c r="C31" s="361"/>
      <c r="D31" s="362"/>
      <c r="E31" s="363" t="s">
        <v>248</v>
      </c>
      <c r="F31" s="364" t="s">
        <v>249</v>
      </c>
      <c r="G31" s="364" t="s">
        <v>250</v>
      </c>
      <c r="H31" s="365" t="s">
        <v>251</v>
      </c>
      <c r="I31" s="389">
        <f t="shared" ref="I31:J31" si="18">I35</f>
        <v>0</v>
      </c>
      <c r="J31" s="384">
        <f t="shared" si="18"/>
        <v>0</v>
      </c>
      <c r="K31" s="385">
        <f>K35</f>
        <v>0</v>
      </c>
      <c r="L31" s="366"/>
      <c r="M31" s="367"/>
      <c r="N31" s="368"/>
      <c r="O31" s="369"/>
      <c r="P31" s="370"/>
      <c r="Q31" s="371"/>
      <c r="R31" s="372"/>
      <c r="S31" s="373">
        <f t="shared" ref="S31:T31" si="19">S35</f>
        <v>0</v>
      </c>
      <c r="T31" s="374">
        <f t="shared" si="19"/>
        <v>0</v>
      </c>
    </row>
    <row r="32" spans="1:20" ht="31.5" customHeight="1">
      <c r="A32" s="1301" t="s">
        <v>284</v>
      </c>
      <c r="B32" s="167">
        <f>B28+1</f>
        <v>18</v>
      </c>
      <c r="C32" s="180" t="s">
        <v>285</v>
      </c>
      <c r="D32" s="190"/>
      <c r="E32" s="55"/>
      <c r="F32" s="61"/>
      <c r="G32" s="61"/>
      <c r="H32" s="60"/>
      <c r="I32" s="356"/>
      <c r="J32" s="356"/>
      <c r="K32" s="357">
        <f t="shared" ref="K32:K34" si="20">I32+J32</f>
        <v>0</v>
      </c>
      <c r="L32" s="182"/>
      <c r="M32" s="113"/>
      <c r="N32" s="175"/>
      <c r="O32" s="58"/>
      <c r="P32" s="108" t="str">
        <f t="shared" ref="P32:P34" si="21">IF(N32,MIN(1,O32/N32),"")</f>
        <v/>
      </c>
      <c r="Q32" s="1304"/>
      <c r="R32" s="1304"/>
      <c r="S32" s="165"/>
      <c r="T32" s="260"/>
    </row>
    <row r="33" spans="1:20" ht="31.5" customHeight="1">
      <c r="A33" s="1302"/>
      <c r="B33" s="167">
        <f>B32+1</f>
        <v>19</v>
      </c>
      <c r="C33" s="181" t="s">
        <v>286</v>
      </c>
      <c r="D33" s="191"/>
      <c r="E33" s="55"/>
      <c r="F33" s="61"/>
      <c r="G33" s="61"/>
      <c r="H33" s="60"/>
      <c r="I33" s="356"/>
      <c r="J33" s="356"/>
      <c r="K33" s="357">
        <f t="shared" si="20"/>
        <v>0</v>
      </c>
      <c r="L33" s="183"/>
      <c r="M33" s="110"/>
      <c r="N33" s="172"/>
      <c r="O33" s="58"/>
      <c r="P33" s="108" t="str">
        <f t="shared" si="21"/>
        <v/>
      </c>
      <c r="Q33" s="1305"/>
      <c r="R33" s="1305"/>
      <c r="S33" s="165"/>
      <c r="T33" s="257"/>
    </row>
    <row r="34" spans="1:20" ht="31.5" customHeight="1">
      <c r="A34" s="1302"/>
      <c r="B34" s="167">
        <f t="shared" ref="B34" si="22">B33+1</f>
        <v>20</v>
      </c>
      <c r="C34" s="181" t="s">
        <v>287</v>
      </c>
      <c r="D34" s="191"/>
      <c r="E34" s="55"/>
      <c r="F34" s="61"/>
      <c r="G34" s="61"/>
      <c r="H34" s="60"/>
      <c r="I34" s="356"/>
      <c r="J34" s="356"/>
      <c r="K34" s="357">
        <f t="shared" si="20"/>
        <v>0</v>
      </c>
      <c r="L34" s="183"/>
      <c r="M34" s="110"/>
      <c r="N34" s="172"/>
      <c r="O34" s="58"/>
      <c r="P34" s="108" t="str">
        <f t="shared" si="21"/>
        <v/>
      </c>
      <c r="Q34" s="1305"/>
      <c r="R34" s="1305"/>
      <c r="S34" s="165"/>
      <c r="T34" s="257"/>
    </row>
    <row r="35" spans="1:20">
      <c r="A35" s="1303"/>
      <c r="B35" s="65"/>
      <c r="C35" s="81"/>
      <c r="D35" s="120"/>
      <c r="E35" s="67"/>
      <c r="F35" s="67"/>
      <c r="G35" s="67"/>
      <c r="H35" s="66"/>
      <c r="I35" s="359">
        <f t="shared" ref="I35:J35" si="23">SUM(I32:I34)</f>
        <v>0</v>
      </c>
      <c r="J35" s="359">
        <f t="shared" si="23"/>
        <v>0</v>
      </c>
      <c r="K35" s="358">
        <f>SUM(K32:K34)</f>
        <v>0</v>
      </c>
      <c r="L35" s="139"/>
      <c r="M35" s="111"/>
      <c r="N35" s="173">
        <f>SUM(N32:N34)</f>
        <v>0</v>
      </c>
      <c r="O35" s="68">
        <f>SUM(O32:O34)</f>
        <v>0</v>
      </c>
      <c r="P35" s="69" t="str">
        <f>IFERROR(AVERAGE(P32:P34),"")</f>
        <v/>
      </c>
      <c r="Q35" s="379" t="str">
        <f>IFERROR(AVERAGE(P32:P34),"")</f>
        <v/>
      </c>
      <c r="R35" s="1305"/>
      <c r="S35" s="352">
        <f t="shared" ref="S35:T35" si="24">SUM(S32:S34)</f>
        <v>0</v>
      </c>
      <c r="T35" s="70">
        <f t="shared" si="24"/>
        <v>0</v>
      </c>
    </row>
    <row r="36" spans="1:20" ht="30.75" customHeight="1">
      <c r="A36" s="360" t="s">
        <v>288</v>
      </c>
      <c r="B36" s="361"/>
      <c r="C36" s="361"/>
      <c r="D36" s="362"/>
      <c r="E36" s="363" t="s">
        <v>248</v>
      </c>
      <c r="F36" s="364" t="s">
        <v>249</v>
      </c>
      <c r="G36" s="364" t="s">
        <v>250</v>
      </c>
      <c r="H36" s="365" t="s">
        <v>251</v>
      </c>
      <c r="I36" s="389">
        <f t="shared" ref="I36:J36" si="25">I40+I43</f>
        <v>0</v>
      </c>
      <c r="J36" s="384">
        <f t="shared" si="25"/>
        <v>0</v>
      </c>
      <c r="K36" s="385">
        <f>K40+K43</f>
        <v>0</v>
      </c>
      <c r="L36" s="366"/>
      <c r="M36" s="367"/>
      <c r="N36" s="368"/>
      <c r="O36" s="369"/>
      <c r="P36" s="370"/>
      <c r="Q36" s="375"/>
      <c r="R36" s="1305"/>
      <c r="S36" s="373">
        <f t="shared" ref="S36:T36" si="26">S40+S43</f>
        <v>0</v>
      </c>
      <c r="T36" s="374">
        <f t="shared" si="26"/>
        <v>13925.6</v>
      </c>
    </row>
    <row r="37" spans="1:20" ht="31.5" customHeight="1">
      <c r="A37" s="1271" t="s">
        <v>289</v>
      </c>
      <c r="B37" s="935">
        <f>B34+1</f>
        <v>21</v>
      </c>
      <c r="C37" s="936" t="s">
        <v>290</v>
      </c>
      <c r="D37" s="937"/>
      <c r="E37" s="938"/>
      <c r="F37" s="938"/>
      <c r="G37" s="938"/>
      <c r="H37" s="939"/>
      <c r="I37" s="940"/>
      <c r="J37" s="940"/>
      <c r="K37" s="941">
        <f t="shared" ref="K37:K39" si="27">I37+J37</f>
        <v>0</v>
      </c>
      <c r="L37" s="942"/>
      <c r="M37" s="943"/>
      <c r="N37" s="1109"/>
      <c r="O37" s="944"/>
      <c r="P37" s="945" t="str">
        <f t="shared" ref="P37:P39" si="28">IF(N37,MIN(1,O37/N37),"")</f>
        <v/>
      </c>
      <c r="Q37" s="1299"/>
      <c r="R37" s="1284"/>
      <c r="S37" s="946"/>
      <c r="T37" s="947">
        <v>13925.6</v>
      </c>
    </row>
    <row r="38" spans="1:20" ht="31.5" customHeight="1">
      <c r="A38" s="1273"/>
      <c r="B38" s="935">
        <f>B37+1</f>
        <v>22</v>
      </c>
      <c r="C38" s="948" t="s">
        <v>291</v>
      </c>
      <c r="D38" s="949"/>
      <c r="E38" s="938"/>
      <c r="F38" s="938"/>
      <c r="G38" s="938"/>
      <c r="H38" s="939"/>
      <c r="I38" s="940"/>
      <c r="J38" s="940"/>
      <c r="K38" s="941">
        <f t="shared" si="27"/>
        <v>0</v>
      </c>
      <c r="L38" s="950"/>
      <c r="M38" s="943"/>
      <c r="N38" s="1109"/>
      <c r="O38" s="944"/>
      <c r="P38" s="945" t="str">
        <f t="shared" si="28"/>
        <v/>
      </c>
      <c r="Q38" s="1284"/>
      <c r="R38" s="1284"/>
      <c r="S38" s="946"/>
      <c r="T38" s="947"/>
    </row>
    <row r="39" spans="1:20" ht="31.5" customHeight="1">
      <c r="A39" s="1273"/>
      <c r="B39" s="935">
        <f>B38+1</f>
        <v>23</v>
      </c>
      <c r="C39" s="948" t="s">
        <v>292</v>
      </c>
      <c r="D39" s="951"/>
      <c r="E39" s="938"/>
      <c r="F39" s="938"/>
      <c r="G39" s="938"/>
      <c r="H39" s="939"/>
      <c r="I39" s="940"/>
      <c r="J39" s="940"/>
      <c r="K39" s="941">
        <f t="shared" si="27"/>
        <v>0</v>
      </c>
      <c r="L39" s="952"/>
      <c r="M39" s="943"/>
      <c r="N39" s="1109"/>
      <c r="O39" s="944"/>
      <c r="P39" s="945" t="str">
        <f t="shared" si="28"/>
        <v/>
      </c>
      <c r="Q39" s="1284"/>
      <c r="R39" s="1284"/>
      <c r="S39" s="946"/>
      <c r="T39" s="947"/>
    </row>
    <row r="40" spans="1:20">
      <c r="A40" s="1273"/>
      <c r="B40" s="953"/>
      <c r="C40" s="954"/>
      <c r="D40" s="955"/>
      <c r="E40" s="955"/>
      <c r="F40" s="955"/>
      <c r="G40" s="955"/>
      <c r="H40" s="954"/>
      <c r="I40" s="956">
        <f t="shared" ref="I40:J40" si="29">SUM(I37:I39)</f>
        <v>0</v>
      </c>
      <c r="J40" s="956">
        <f t="shared" si="29"/>
        <v>0</v>
      </c>
      <c r="K40" s="957">
        <f>SUM(K37:K39)</f>
        <v>0</v>
      </c>
      <c r="L40" s="958"/>
      <c r="M40" s="959"/>
      <c r="N40" s="960">
        <f>SUM(N37:N39)</f>
        <v>0</v>
      </c>
      <c r="O40" s="961">
        <f>SUM(O37:O39)</f>
        <v>0</v>
      </c>
      <c r="P40" s="953" t="str">
        <f>IFERROR(AVERAGE(P37:P39),"")</f>
        <v/>
      </c>
      <c r="Q40" s="1284"/>
      <c r="R40" s="1284"/>
      <c r="S40" s="962">
        <f>SUM(S37:S39)</f>
        <v>0</v>
      </c>
      <c r="T40" s="963">
        <f>SUM(T37:T39)</f>
        <v>13925.6</v>
      </c>
    </row>
    <row r="41" spans="1:20" ht="31.5" customHeight="1">
      <c r="A41" s="1271" t="s">
        <v>293</v>
      </c>
      <c r="B41" s="935">
        <f>B39+1</f>
        <v>24</v>
      </c>
      <c r="C41" s="936" t="s">
        <v>294</v>
      </c>
      <c r="D41" s="937"/>
      <c r="E41" s="938"/>
      <c r="F41" s="938"/>
      <c r="G41" s="938"/>
      <c r="H41" s="939"/>
      <c r="I41" s="940"/>
      <c r="J41" s="940">
        <v>0</v>
      </c>
      <c r="K41" s="941">
        <f t="shared" ref="K41:K42" si="30">I41+J41</f>
        <v>0</v>
      </c>
      <c r="L41" s="942"/>
      <c r="M41" s="943"/>
      <c r="N41" s="1109"/>
      <c r="O41" s="944"/>
      <c r="P41" s="945" t="str">
        <f t="shared" ref="P41:P42" si="31">IF(N41,MIN(1,O41/N41),"")</f>
        <v/>
      </c>
      <c r="Q41" s="1284"/>
      <c r="R41" s="1284"/>
      <c r="S41" s="946"/>
      <c r="T41" s="947"/>
    </row>
    <row r="42" spans="1:20" ht="31.5" customHeight="1">
      <c r="A42" s="1273"/>
      <c r="B42" s="935">
        <f>B41+1</f>
        <v>25</v>
      </c>
      <c r="C42" s="948" t="s">
        <v>295</v>
      </c>
      <c r="D42" s="949"/>
      <c r="E42" s="938"/>
      <c r="F42" s="938"/>
      <c r="G42" s="938"/>
      <c r="H42" s="939"/>
      <c r="I42" s="940">
        <v>0</v>
      </c>
      <c r="J42" s="940">
        <v>0</v>
      </c>
      <c r="K42" s="941">
        <f t="shared" si="30"/>
        <v>0</v>
      </c>
      <c r="L42" s="950"/>
      <c r="M42" s="943"/>
      <c r="N42" s="1109"/>
      <c r="O42" s="944"/>
      <c r="P42" s="945" t="str">
        <f t="shared" si="31"/>
        <v/>
      </c>
      <c r="Q42" s="1285"/>
      <c r="R42" s="1284"/>
      <c r="S42" s="946"/>
      <c r="T42" s="947"/>
    </row>
    <row r="43" spans="1:20">
      <c r="A43" s="1273"/>
      <c r="B43" s="953"/>
      <c r="C43" s="954"/>
      <c r="D43" s="955"/>
      <c r="E43" s="955"/>
      <c r="F43" s="955"/>
      <c r="G43" s="955"/>
      <c r="H43" s="954"/>
      <c r="I43" s="956">
        <f t="shared" ref="I43:J43" si="32">SUM(I41:I42)</f>
        <v>0</v>
      </c>
      <c r="J43" s="956">
        <f t="shared" si="32"/>
        <v>0</v>
      </c>
      <c r="K43" s="957">
        <f>SUM(K41:K42)</f>
        <v>0</v>
      </c>
      <c r="L43" s="958"/>
      <c r="M43" s="959"/>
      <c r="N43" s="960">
        <f>SUM(N41:N42)</f>
        <v>0</v>
      </c>
      <c r="O43" s="961">
        <f>SUM(O41:O42)</f>
        <v>0</v>
      </c>
      <c r="P43" s="953" t="str">
        <f>IFERROR(AVERAGE(P41:P42),"")</f>
        <v/>
      </c>
      <c r="Q43" s="953" t="str">
        <f>IFERROR(AVERAGE(P37:P39,P41:P42),"")</f>
        <v/>
      </c>
      <c r="R43" s="964" t="str">
        <f>IFERROR(AVERAGE(P32:P34,P37:P39,P41:P42),"")</f>
        <v/>
      </c>
      <c r="S43" s="962">
        <f>SUM(S41:S42)</f>
        <v>0</v>
      </c>
      <c r="T43" s="963">
        <f>SUM(T41:T42)</f>
        <v>0</v>
      </c>
    </row>
    <row r="44" spans="1:20" ht="35.25" customHeight="1">
      <c r="A44" s="965" t="s">
        <v>296</v>
      </c>
      <c r="B44" s="966"/>
      <c r="C44" s="966"/>
      <c r="D44" s="966"/>
      <c r="E44" s="966"/>
      <c r="F44" s="966"/>
      <c r="G44" s="966"/>
      <c r="H44" s="967"/>
      <c r="I44" s="968">
        <f t="shared" ref="I44:J44" si="33">I45+I68+I85</f>
        <v>0</v>
      </c>
      <c r="J44" s="969">
        <f t="shared" si="33"/>
        <v>0</v>
      </c>
      <c r="K44" s="970">
        <f>K45+K68+K85</f>
        <v>0</v>
      </c>
      <c r="L44" s="971"/>
      <c r="M44" s="972"/>
      <c r="N44" s="973"/>
      <c r="O44" s="974"/>
      <c r="P44" s="975"/>
      <c r="Q44" s="975"/>
      <c r="R44" s="976"/>
      <c r="S44" s="977">
        <f t="shared" ref="S44:T44" si="34">S45+S68+S85</f>
        <v>0</v>
      </c>
      <c r="T44" s="978">
        <f t="shared" si="34"/>
        <v>104858.18</v>
      </c>
    </row>
    <row r="45" spans="1:20" ht="30.75" customHeight="1">
      <c r="A45" s="979" t="s">
        <v>297</v>
      </c>
      <c r="B45" s="980"/>
      <c r="C45" s="980"/>
      <c r="D45" s="981"/>
      <c r="E45" s="982" t="s">
        <v>248</v>
      </c>
      <c r="F45" s="983" t="s">
        <v>249</v>
      </c>
      <c r="G45" s="983" t="s">
        <v>250</v>
      </c>
      <c r="H45" s="984" t="s">
        <v>251</v>
      </c>
      <c r="I45" s="985">
        <f t="shared" ref="I45:J45" si="35">I52+I59+I67</f>
        <v>0</v>
      </c>
      <c r="J45" s="986">
        <f t="shared" si="35"/>
        <v>0</v>
      </c>
      <c r="K45" s="987">
        <f>K52+K59+K67</f>
        <v>0</v>
      </c>
      <c r="L45" s="988"/>
      <c r="M45" s="989"/>
      <c r="N45" s="990"/>
      <c r="O45" s="991"/>
      <c r="P45" s="988"/>
      <c r="Q45" s="992"/>
      <c r="R45" s="993"/>
      <c r="S45" s="994">
        <f t="shared" ref="S45:T45" si="36">S52+S59+S67</f>
        <v>0</v>
      </c>
      <c r="T45" s="995">
        <f t="shared" si="36"/>
        <v>73638.290000000008</v>
      </c>
    </row>
    <row r="46" spans="1:20" ht="31.5" customHeight="1">
      <c r="A46" s="1274" t="s">
        <v>298</v>
      </c>
      <c r="B46" s="935">
        <f>B42+1</f>
        <v>26</v>
      </c>
      <c r="C46" s="996" t="s">
        <v>299</v>
      </c>
      <c r="D46" s="997"/>
      <c r="E46" s="998"/>
      <c r="F46" s="938"/>
      <c r="G46" s="938"/>
      <c r="H46" s="939"/>
      <c r="I46" s="940">
        <v>0</v>
      </c>
      <c r="J46" s="940">
        <v>0</v>
      </c>
      <c r="K46" s="941">
        <f t="shared" ref="K46:K51" si="37">I46+J46</f>
        <v>0</v>
      </c>
      <c r="L46" s="942"/>
      <c r="M46" s="999"/>
      <c r="N46" s="1000"/>
      <c r="O46" s="944"/>
      <c r="P46" s="945" t="str">
        <f t="shared" ref="P46:P51" si="38">IF(N46,MIN(1,O46/N46),"")</f>
        <v/>
      </c>
      <c r="Q46" s="1277"/>
      <c r="R46" s="1295"/>
      <c r="S46" s="946"/>
      <c r="T46" s="1001"/>
    </row>
    <row r="47" spans="1:20" ht="36.75" customHeight="1">
      <c r="A47" s="1292"/>
      <c r="B47" s="935">
        <f>B46+1</f>
        <v>27</v>
      </c>
      <c r="C47" s="1002" t="s">
        <v>300</v>
      </c>
      <c r="D47" s="1003"/>
      <c r="E47" s="938"/>
      <c r="F47" s="938"/>
      <c r="G47" s="938"/>
      <c r="H47" s="939"/>
      <c r="I47" s="940">
        <v>0</v>
      </c>
      <c r="J47" s="940">
        <v>0</v>
      </c>
      <c r="K47" s="941">
        <f t="shared" si="37"/>
        <v>0</v>
      </c>
      <c r="L47" s="950"/>
      <c r="M47" s="943"/>
      <c r="N47" s="1004"/>
      <c r="O47" s="944"/>
      <c r="P47" s="945" t="str">
        <f t="shared" si="38"/>
        <v/>
      </c>
      <c r="Q47" s="1278"/>
      <c r="R47" s="1284"/>
      <c r="S47" s="946"/>
      <c r="T47" s="947"/>
    </row>
    <row r="48" spans="1:20" ht="31.5" customHeight="1">
      <c r="A48" s="1292"/>
      <c r="B48" s="935">
        <f>B47+1</f>
        <v>28</v>
      </c>
      <c r="C48" s="1002" t="s">
        <v>301</v>
      </c>
      <c r="D48" s="1003"/>
      <c r="E48" s="938"/>
      <c r="F48" s="938"/>
      <c r="G48" s="938"/>
      <c r="H48" s="939"/>
      <c r="I48" s="940">
        <v>0</v>
      </c>
      <c r="J48" s="940"/>
      <c r="K48" s="941">
        <f t="shared" si="37"/>
        <v>0</v>
      </c>
      <c r="L48" s="950"/>
      <c r="M48" s="943"/>
      <c r="N48" s="1004"/>
      <c r="O48" s="944"/>
      <c r="P48" s="945" t="str">
        <f t="shared" si="38"/>
        <v/>
      </c>
      <c r="Q48" s="1278"/>
      <c r="R48" s="1284"/>
      <c r="S48" s="946"/>
      <c r="T48" s="947"/>
    </row>
    <row r="49" spans="1:20" ht="31.5" customHeight="1">
      <c r="A49" s="1292"/>
      <c r="B49" s="935">
        <f t="shared" ref="B49:B51" si="39">B48+1</f>
        <v>29</v>
      </c>
      <c r="C49" s="1002" t="s">
        <v>302</v>
      </c>
      <c r="D49" s="1003"/>
      <c r="E49" s="998"/>
      <c r="F49" s="938"/>
      <c r="G49" s="938"/>
      <c r="H49" s="939"/>
      <c r="I49" s="940">
        <v>0</v>
      </c>
      <c r="J49" s="940"/>
      <c r="K49" s="941">
        <f t="shared" si="37"/>
        <v>0</v>
      </c>
      <c r="L49" s="950"/>
      <c r="M49" s="943"/>
      <c r="N49" s="1004"/>
      <c r="O49" s="944"/>
      <c r="P49" s="945" t="str">
        <f t="shared" si="38"/>
        <v/>
      </c>
      <c r="Q49" s="1278"/>
      <c r="R49" s="1284"/>
      <c r="S49" s="946"/>
      <c r="T49" s="947"/>
    </row>
    <row r="50" spans="1:20" ht="36.75" customHeight="1">
      <c r="A50" s="1292"/>
      <c r="B50" s="935">
        <f t="shared" si="39"/>
        <v>30</v>
      </c>
      <c r="C50" s="1002" t="s">
        <v>303</v>
      </c>
      <c r="D50" s="1003"/>
      <c r="E50" s="938"/>
      <c r="F50" s="938"/>
      <c r="G50" s="938"/>
      <c r="H50" s="939"/>
      <c r="I50" s="940">
        <v>0</v>
      </c>
      <c r="J50" s="940"/>
      <c r="K50" s="941">
        <f t="shared" si="37"/>
        <v>0</v>
      </c>
      <c r="L50" s="950"/>
      <c r="M50" s="943"/>
      <c r="N50" s="1004"/>
      <c r="O50" s="944"/>
      <c r="P50" s="945" t="str">
        <f t="shared" si="38"/>
        <v/>
      </c>
      <c r="Q50" s="1278"/>
      <c r="R50" s="1284"/>
      <c r="S50" s="946"/>
      <c r="T50" s="947">
        <v>6673.01</v>
      </c>
    </row>
    <row r="51" spans="1:20" ht="31.5" customHeight="1">
      <c r="A51" s="1292"/>
      <c r="B51" s="935">
        <f t="shared" si="39"/>
        <v>31</v>
      </c>
      <c r="C51" s="1002" t="s">
        <v>304</v>
      </c>
      <c r="D51" s="1005"/>
      <c r="E51" s="938"/>
      <c r="F51" s="938"/>
      <c r="G51" s="938"/>
      <c r="H51" s="939"/>
      <c r="I51" s="940">
        <v>0</v>
      </c>
      <c r="J51" s="940"/>
      <c r="K51" s="941">
        <f t="shared" si="37"/>
        <v>0</v>
      </c>
      <c r="L51" s="952"/>
      <c r="M51" s="940"/>
      <c r="N51" s="1004"/>
      <c r="O51" s="944"/>
      <c r="P51" s="945" t="str">
        <f t="shared" si="38"/>
        <v/>
      </c>
      <c r="Q51" s="1278"/>
      <c r="R51" s="1284"/>
      <c r="S51" s="946"/>
      <c r="T51" s="947">
        <v>27243.89</v>
      </c>
    </row>
    <row r="52" spans="1:20">
      <c r="A52" s="1293"/>
      <c r="B52" s="953"/>
      <c r="C52" s="954"/>
      <c r="D52" s="955"/>
      <c r="E52" s="955"/>
      <c r="F52" s="955"/>
      <c r="G52" s="955"/>
      <c r="H52" s="954"/>
      <c r="I52" s="956">
        <f t="shared" ref="I52:J52" si="40">SUM(I46:I51)</f>
        <v>0</v>
      </c>
      <c r="J52" s="956">
        <f t="shared" si="40"/>
        <v>0</v>
      </c>
      <c r="K52" s="957">
        <f>SUM(K46:K51)</f>
        <v>0</v>
      </c>
      <c r="L52" s="958"/>
      <c r="M52" s="959"/>
      <c r="N52" s="960">
        <f>SUM(N46:N51)</f>
        <v>0</v>
      </c>
      <c r="O52" s="961">
        <f>SUM(O46:O51)</f>
        <v>0</v>
      </c>
      <c r="P52" s="953" t="str">
        <f>IFERROR(AVERAGE(P46:P51),"")</f>
        <v/>
      </c>
      <c r="Q52" s="1278"/>
      <c r="R52" s="1284"/>
      <c r="S52" s="962">
        <f t="shared" ref="S52:T52" si="41">SUM(S46:S51)</f>
        <v>0</v>
      </c>
      <c r="T52" s="963">
        <f t="shared" si="41"/>
        <v>33916.9</v>
      </c>
    </row>
    <row r="53" spans="1:20" ht="31.5" customHeight="1">
      <c r="A53" s="1296" t="s">
        <v>305</v>
      </c>
      <c r="B53" s="935">
        <f>B51+1</f>
        <v>32</v>
      </c>
      <c r="C53" s="1002" t="s">
        <v>306</v>
      </c>
      <c r="D53" s="997"/>
      <c r="E53" s="938"/>
      <c r="F53" s="938"/>
      <c r="G53" s="938"/>
      <c r="H53" s="939"/>
      <c r="I53" s="940"/>
      <c r="J53" s="940"/>
      <c r="K53" s="941">
        <f t="shared" ref="K53:K58" si="42">I53+J53</f>
        <v>0</v>
      </c>
      <c r="L53" s="942"/>
      <c r="M53" s="943"/>
      <c r="N53" s="1004"/>
      <c r="O53" s="944"/>
      <c r="P53" s="945" t="str">
        <f>IF(N53,MIN(1,O53/N53),"")</f>
        <v/>
      </c>
      <c r="Q53" s="1278"/>
      <c r="R53" s="1284"/>
      <c r="S53" s="946"/>
      <c r="T53" s="947"/>
    </row>
    <row r="54" spans="1:20" ht="31.5" customHeight="1">
      <c r="A54" s="1297"/>
      <c r="B54" s="935">
        <f>B53+1</f>
        <v>33</v>
      </c>
      <c r="C54" s="1002" t="s">
        <v>307</v>
      </c>
      <c r="D54" s="1006"/>
      <c r="E54" s="938"/>
      <c r="F54" s="938"/>
      <c r="G54" s="938"/>
      <c r="H54" s="939"/>
      <c r="I54" s="940"/>
      <c r="J54" s="940"/>
      <c r="K54" s="941">
        <f t="shared" si="42"/>
        <v>0</v>
      </c>
      <c r="L54" s="950"/>
      <c r="M54" s="940"/>
      <c r="N54" s="1004"/>
      <c r="O54" s="944"/>
      <c r="P54" s="945" t="str">
        <f t="shared" ref="P54:P55" si="43">IF(N54,MIN(1,O54/N54),"")</f>
        <v/>
      </c>
      <c r="Q54" s="1278"/>
      <c r="R54" s="1284"/>
      <c r="S54" s="946"/>
      <c r="T54" s="947"/>
    </row>
    <row r="55" spans="1:20" ht="31.5" customHeight="1">
      <c r="A55" s="1297"/>
      <c r="B55" s="935">
        <f>B54+1</f>
        <v>34</v>
      </c>
      <c r="C55" s="1002" t="s">
        <v>308</v>
      </c>
      <c r="D55" s="1006"/>
      <c r="E55" s="938"/>
      <c r="F55" s="938"/>
      <c r="G55" s="938"/>
      <c r="H55" s="939"/>
      <c r="I55" s="940"/>
      <c r="J55" s="940"/>
      <c r="K55" s="941">
        <f t="shared" si="42"/>
        <v>0</v>
      </c>
      <c r="L55" s="950"/>
      <c r="M55" s="940"/>
      <c r="N55" s="1004"/>
      <c r="O55" s="944"/>
      <c r="P55" s="945" t="str">
        <f t="shared" si="43"/>
        <v/>
      </c>
      <c r="Q55" s="1278"/>
      <c r="R55" s="1284"/>
      <c r="S55" s="946"/>
      <c r="T55" s="947"/>
    </row>
    <row r="56" spans="1:20" ht="31.5" customHeight="1">
      <c r="A56" s="1297"/>
      <c r="B56" s="935">
        <f t="shared" ref="B56:B58" si="44">B55+1</f>
        <v>35</v>
      </c>
      <c r="C56" s="1002" t="s">
        <v>309</v>
      </c>
      <c r="D56" s="1006"/>
      <c r="E56" s="938"/>
      <c r="F56" s="938"/>
      <c r="G56" s="938"/>
      <c r="H56" s="939"/>
      <c r="I56" s="940"/>
      <c r="J56" s="940"/>
      <c r="K56" s="941">
        <f t="shared" si="42"/>
        <v>0</v>
      </c>
      <c r="L56" s="950"/>
      <c r="M56" s="943"/>
      <c r="N56" s="1004"/>
      <c r="O56" s="944"/>
      <c r="P56" s="945" t="str">
        <f>IF(N56,MIN(1,O56/N56),"")</f>
        <v/>
      </c>
      <c r="Q56" s="1278"/>
      <c r="R56" s="1284"/>
      <c r="S56" s="946"/>
      <c r="T56" s="947"/>
    </row>
    <row r="57" spans="1:20" ht="31.5" customHeight="1">
      <c r="A57" s="1297"/>
      <c r="B57" s="935">
        <f t="shared" si="44"/>
        <v>36</v>
      </c>
      <c r="C57" s="1002" t="s">
        <v>310</v>
      </c>
      <c r="D57" s="1006"/>
      <c r="E57" s="938"/>
      <c r="F57" s="938"/>
      <c r="G57" s="938"/>
      <c r="H57" s="939"/>
      <c r="I57" s="940"/>
      <c r="J57" s="940"/>
      <c r="K57" s="941">
        <f t="shared" si="42"/>
        <v>0</v>
      </c>
      <c r="L57" s="950"/>
      <c r="M57" s="940"/>
      <c r="N57" s="1004"/>
      <c r="O57" s="944"/>
      <c r="P57" s="945" t="str">
        <f t="shared" ref="P57:P58" si="45">IF(N57,MIN(1,O57/N57),"")</f>
        <v/>
      </c>
      <c r="Q57" s="1278"/>
      <c r="R57" s="1284"/>
      <c r="S57" s="946"/>
      <c r="T57" s="947">
        <v>8833.81</v>
      </c>
    </row>
    <row r="58" spans="1:20" ht="31.5" customHeight="1">
      <c r="A58" s="1297"/>
      <c r="B58" s="935">
        <f t="shared" si="44"/>
        <v>37</v>
      </c>
      <c r="C58" s="1002" t="s">
        <v>311</v>
      </c>
      <c r="D58" s="1005"/>
      <c r="E58" s="938"/>
      <c r="F58" s="938"/>
      <c r="G58" s="938"/>
      <c r="H58" s="939"/>
      <c r="I58" s="940"/>
      <c r="J58" s="940"/>
      <c r="K58" s="941">
        <f t="shared" si="42"/>
        <v>0</v>
      </c>
      <c r="L58" s="952"/>
      <c r="M58" s="940"/>
      <c r="N58" s="1004"/>
      <c r="O58" s="944"/>
      <c r="P58" s="945" t="str">
        <f t="shared" si="45"/>
        <v/>
      </c>
      <c r="Q58" s="1278"/>
      <c r="R58" s="1284"/>
      <c r="S58" s="946"/>
      <c r="T58" s="947"/>
    </row>
    <row r="59" spans="1:20">
      <c r="A59" s="1298"/>
      <c r="B59" s="953"/>
      <c r="C59" s="954"/>
      <c r="D59" s="955"/>
      <c r="E59" s="955"/>
      <c r="F59" s="955"/>
      <c r="G59" s="955"/>
      <c r="H59" s="954"/>
      <c r="I59" s="956">
        <f t="shared" ref="I59:J59" si="46">SUM(I53:I58)</f>
        <v>0</v>
      </c>
      <c r="J59" s="956">
        <f t="shared" si="46"/>
        <v>0</v>
      </c>
      <c r="K59" s="957">
        <f>SUM(K53:K58)</f>
        <v>0</v>
      </c>
      <c r="L59" s="958"/>
      <c r="M59" s="959"/>
      <c r="N59" s="960">
        <f>SUM(N53:N58)</f>
        <v>0</v>
      </c>
      <c r="O59" s="961">
        <f>SUM(O53:O58)</f>
        <v>0</v>
      </c>
      <c r="P59" s="953" t="str">
        <f>IFERROR(AVERAGE(P53:P58),"")</f>
        <v/>
      </c>
      <c r="Q59" s="1278"/>
      <c r="R59" s="1284"/>
      <c r="S59" s="962">
        <f>SUM(S53:S58)</f>
        <v>0</v>
      </c>
      <c r="T59" s="963">
        <f>SUM(T53:T58)</f>
        <v>8833.81</v>
      </c>
    </row>
    <row r="60" spans="1:20" ht="31.5" customHeight="1">
      <c r="A60" s="1296" t="s">
        <v>312</v>
      </c>
      <c r="B60" s="935">
        <f>B58+1</f>
        <v>38</v>
      </c>
      <c r="C60" s="1002" t="s">
        <v>313</v>
      </c>
      <c r="D60" s="997"/>
      <c r="E60" s="938"/>
      <c r="F60" s="938"/>
      <c r="G60" s="938"/>
      <c r="H60" s="939"/>
      <c r="I60" s="940"/>
      <c r="J60" s="940"/>
      <c r="K60" s="941">
        <f t="shared" ref="K60:K66" si="47">I60+J60</f>
        <v>0</v>
      </c>
      <c r="L60" s="942"/>
      <c r="M60" s="943"/>
      <c r="N60" s="1004"/>
      <c r="O60" s="944"/>
      <c r="P60" s="945" t="str">
        <f>IF(N60,MIN(1,O60/N60),"")</f>
        <v/>
      </c>
      <c r="Q60" s="1278"/>
      <c r="R60" s="1284"/>
      <c r="S60" s="946"/>
      <c r="T60" s="947"/>
    </row>
    <row r="61" spans="1:20" ht="31.5" customHeight="1">
      <c r="A61" s="1297"/>
      <c r="B61" s="935">
        <f>B60+1</f>
        <v>39</v>
      </c>
      <c r="C61" s="1002" t="s">
        <v>314</v>
      </c>
      <c r="D61" s="1006"/>
      <c r="E61" s="938"/>
      <c r="F61" s="938"/>
      <c r="G61" s="938"/>
      <c r="H61" s="939"/>
      <c r="I61" s="940"/>
      <c r="J61" s="940"/>
      <c r="K61" s="941">
        <f t="shared" si="47"/>
        <v>0</v>
      </c>
      <c r="L61" s="950"/>
      <c r="M61" s="940"/>
      <c r="N61" s="1004"/>
      <c r="O61" s="944"/>
      <c r="P61" s="945" t="str">
        <f t="shared" ref="P61:P62" si="48">IF(N61,MIN(1,O61/N61),"")</f>
        <v/>
      </c>
      <c r="Q61" s="1278"/>
      <c r="R61" s="1284"/>
      <c r="S61" s="946"/>
      <c r="T61" s="947"/>
    </row>
    <row r="62" spans="1:20" ht="31.5" customHeight="1">
      <c r="A62" s="1297"/>
      <c r="B62" s="935">
        <f>B61+1</f>
        <v>40</v>
      </c>
      <c r="C62" s="1002" t="s">
        <v>315</v>
      </c>
      <c r="D62" s="1006"/>
      <c r="E62" s="938"/>
      <c r="F62" s="938"/>
      <c r="G62" s="938"/>
      <c r="H62" s="939"/>
      <c r="I62" s="940"/>
      <c r="J62" s="940"/>
      <c r="K62" s="941">
        <f t="shared" si="47"/>
        <v>0</v>
      </c>
      <c r="L62" s="950"/>
      <c r="M62" s="940"/>
      <c r="N62" s="1004"/>
      <c r="O62" s="944"/>
      <c r="P62" s="945" t="str">
        <f t="shared" si="48"/>
        <v/>
      </c>
      <c r="Q62" s="1278"/>
      <c r="R62" s="1284"/>
      <c r="S62" s="946"/>
      <c r="T62" s="947">
        <v>30271.72</v>
      </c>
    </row>
    <row r="63" spans="1:20" ht="31.5" customHeight="1">
      <c r="A63" s="1297"/>
      <c r="B63" s="935">
        <f t="shared" ref="B63:B66" si="49">B62+1</f>
        <v>41</v>
      </c>
      <c r="C63" s="1002" t="s">
        <v>316</v>
      </c>
      <c r="D63" s="1006"/>
      <c r="E63" s="938"/>
      <c r="F63" s="938"/>
      <c r="G63" s="938"/>
      <c r="H63" s="939"/>
      <c r="I63" s="940"/>
      <c r="J63" s="940"/>
      <c r="K63" s="941">
        <f t="shared" si="47"/>
        <v>0</v>
      </c>
      <c r="L63" s="950"/>
      <c r="M63" s="943"/>
      <c r="N63" s="1004"/>
      <c r="O63" s="944"/>
      <c r="P63" s="945" t="str">
        <f>IF(N63,MIN(1,O63/N63),"")</f>
        <v/>
      </c>
      <c r="Q63" s="1278"/>
      <c r="R63" s="1284"/>
      <c r="S63" s="946"/>
      <c r="T63" s="947"/>
    </row>
    <row r="64" spans="1:20" ht="31.5" customHeight="1">
      <c r="A64" s="1297"/>
      <c r="B64" s="935">
        <f t="shared" si="49"/>
        <v>42</v>
      </c>
      <c r="C64" s="1002" t="s">
        <v>317</v>
      </c>
      <c r="D64" s="1006"/>
      <c r="E64" s="938"/>
      <c r="F64" s="938"/>
      <c r="G64" s="938"/>
      <c r="H64" s="939"/>
      <c r="I64" s="940"/>
      <c r="J64" s="940"/>
      <c r="K64" s="941">
        <f t="shared" si="47"/>
        <v>0</v>
      </c>
      <c r="L64" s="950"/>
      <c r="M64" s="943"/>
      <c r="N64" s="1004"/>
      <c r="O64" s="944"/>
      <c r="P64" s="945"/>
      <c r="Q64" s="1278"/>
      <c r="R64" s="1284"/>
      <c r="S64" s="946"/>
      <c r="T64" s="947">
        <v>615.86</v>
      </c>
    </row>
    <row r="65" spans="1:20" ht="31.5" customHeight="1">
      <c r="A65" s="1297"/>
      <c r="B65" s="935">
        <f t="shared" si="49"/>
        <v>43</v>
      </c>
      <c r="C65" s="1002" t="s">
        <v>318</v>
      </c>
      <c r="D65" s="1006"/>
      <c r="E65" s="938"/>
      <c r="F65" s="938"/>
      <c r="G65" s="938"/>
      <c r="H65" s="939"/>
      <c r="I65" s="940"/>
      <c r="J65" s="940"/>
      <c r="K65" s="941">
        <f t="shared" si="47"/>
        <v>0</v>
      </c>
      <c r="L65" s="950"/>
      <c r="M65" s="940"/>
      <c r="N65" s="1004"/>
      <c r="O65" s="944"/>
      <c r="P65" s="945" t="str">
        <f t="shared" ref="P65:P66" si="50">IF(N65,MIN(1,O65/N65),"")</f>
        <v/>
      </c>
      <c r="Q65" s="1278"/>
      <c r="R65" s="1284"/>
      <c r="S65" s="946"/>
      <c r="T65" s="947"/>
    </row>
    <row r="66" spans="1:20" ht="31.5" customHeight="1">
      <c r="A66" s="1297"/>
      <c r="B66" s="935">
        <f t="shared" si="49"/>
        <v>44</v>
      </c>
      <c r="C66" s="1002" t="s">
        <v>319</v>
      </c>
      <c r="D66" s="1005"/>
      <c r="E66" s="938"/>
      <c r="F66" s="938"/>
      <c r="G66" s="938"/>
      <c r="H66" s="939"/>
      <c r="I66" s="940"/>
      <c r="J66" s="940"/>
      <c r="K66" s="941">
        <f t="shared" si="47"/>
        <v>0</v>
      </c>
      <c r="L66" s="952"/>
      <c r="M66" s="940"/>
      <c r="N66" s="1004"/>
      <c r="O66" s="944"/>
      <c r="P66" s="945" t="str">
        <f t="shared" si="50"/>
        <v/>
      </c>
      <c r="Q66" s="1294"/>
      <c r="R66" s="1284"/>
      <c r="S66" s="946"/>
      <c r="T66" s="947"/>
    </row>
    <row r="67" spans="1:20">
      <c r="A67" s="1298"/>
      <c r="B67" s="953"/>
      <c r="C67" s="954"/>
      <c r="D67" s="955"/>
      <c r="E67" s="955"/>
      <c r="F67" s="955"/>
      <c r="G67" s="955"/>
      <c r="H67" s="954"/>
      <c r="I67" s="956">
        <f t="shared" ref="I67:J67" si="51">SUM(I60:I66)</f>
        <v>0</v>
      </c>
      <c r="J67" s="956">
        <f t="shared" si="51"/>
        <v>0</v>
      </c>
      <c r="K67" s="957">
        <f>SUM(K60:K66)</f>
        <v>0</v>
      </c>
      <c r="L67" s="958"/>
      <c r="M67" s="959"/>
      <c r="N67" s="960">
        <f>SUM(N60:N66)</f>
        <v>0</v>
      </c>
      <c r="O67" s="961">
        <f>SUM(O60:O66)</f>
        <v>0</v>
      </c>
      <c r="P67" s="953" t="str">
        <f>IFERROR(AVERAGE(P60:P66),"")</f>
        <v/>
      </c>
      <c r="Q67" s="953" t="str">
        <f>IFERROR(AVERAGE(P46:P51,P53:P58,P60:P66),"")</f>
        <v/>
      </c>
      <c r="R67" s="1284"/>
      <c r="S67" s="962">
        <f>SUM(S60:S66)</f>
        <v>0</v>
      </c>
      <c r="T67" s="963">
        <f t="shared" ref="T67" si="52">SUM(T60:T66)</f>
        <v>30887.58</v>
      </c>
    </row>
    <row r="68" spans="1:20" ht="30.75" customHeight="1">
      <c r="A68" s="979" t="s">
        <v>320</v>
      </c>
      <c r="B68" s="980"/>
      <c r="C68" s="980"/>
      <c r="D68" s="981"/>
      <c r="E68" s="982" t="s">
        <v>248</v>
      </c>
      <c r="F68" s="983" t="s">
        <v>249</v>
      </c>
      <c r="G68" s="983" t="s">
        <v>250</v>
      </c>
      <c r="H68" s="984" t="s">
        <v>251</v>
      </c>
      <c r="I68" s="985">
        <f t="shared" ref="I68:J68" si="53">I73+I79+I84</f>
        <v>0</v>
      </c>
      <c r="J68" s="986">
        <f t="shared" si="53"/>
        <v>0</v>
      </c>
      <c r="K68" s="987">
        <f>K73+K79+K84</f>
        <v>0</v>
      </c>
      <c r="L68" s="988"/>
      <c r="M68" s="989"/>
      <c r="N68" s="990"/>
      <c r="O68" s="991"/>
      <c r="P68" s="988"/>
      <c r="Q68" s="992"/>
      <c r="R68" s="1284"/>
      <c r="S68" s="994">
        <f t="shared" ref="S68:T68" si="54">S73+S79+S84</f>
        <v>0</v>
      </c>
      <c r="T68" s="995">
        <f t="shared" si="54"/>
        <v>19047.019999999997</v>
      </c>
    </row>
    <row r="69" spans="1:20" ht="30.65" customHeight="1">
      <c r="A69" s="1271" t="s">
        <v>321</v>
      </c>
      <c r="B69" s="935">
        <f>B66+1</f>
        <v>45</v>
      </c>
      <c r="C69" s="1002" t="s">
        <v>322</v>
      </c>
      <c r="D69" s="997"/>
      <c r="E69" s="938"/>
      <c r="F69" s="938"/>
      <c r="G69" s="938"/>
      <c r="H69" s="939"/>
      <c r="I69" s="940"/>
      <c r="J69" s="940"/>
      <c r="K69" s="941">
        <f t="shared" ref="K69:K72" si="55">I69+J69</f>
        <v>0</v>
      </c>
      <c r="L69" s="942"/>
      <c r="M69" s="943"/>
      <c r="N69" s="1109"/>
      <c r="O69" s="944"/>
      <c r="P69" s="945" t="str">
        <f t="shared" ref="P69:P72" si="56">IF(N69,MIN(1,O69/N69),"")</f>
        <v/>
      </c>
      <c r="Q69" s="1299"/>
      <c r="R69" s="1284"/>
      <c r="S69" s="946"/>
      <c r="T69" s="947"/>
    </row>
    <row r="70" spans="1:20" ht="30.65" customHeight="1">
      <c r="A70" s="1272"/>
      <c r="B70" s="935">
        <f>B69+1</f>
        <v>46</v>
      </c>
      <c r="C70" s="1002" t="s">
        <v>323</v>
      </c>
      <c r="D70" s="1003"/>
      <c r="E70" s="938"/>
      <c r="F70" s="938"/>
      <c r="G70" s="938"/>
      <c r="H70" s="939"/>
      <c r="I70" s="940"/>
      <c r="J70" s="940"/>
      <c r="K70" s="941">
        <f t="shared" si="55"/>
        <v>0</v>
      </c>
      <c r="L70" s="950"/>
      <c r="M70" s="943"/>
      <c r="N70" s="1109"/>
      <c r="O70" s="944"/>
      <c r="P70" s="945" t="str">
        <f t="shared" si="56"/>
        <v/>
      </c>
      <c r="Q70" s="1284"/>
      <c r="R70" s="1284"/>
      <c r="S70" s="946"/>
      <c r="T70" s="947"/>
    </row>
    <row r="71" spans="1:20" ht="30.65" customHeight="1">
      <c r="A71" s="1273"/>
      <c r="B71" s="935">
        <f t="shared" ref="B71:B72" si="57">B70+1</f>
        <v>47</v>
      </c>
      <c r="C71" s="1002" t="s">
        <v>324</v>
      </c>
      <c r="D71" s="1006"/>
      <c r="E71" s="938"/>
      <c r="F71" s="938"/>
      <c r="G71" s="938"/>
      <c r="H71" s="939"/>
      <c r="I71" s="940"/>
      <c r="J71" s="940"/>
      <c r="K71" s="941">
        <f t="shared" si="55"/>
        <v>0</v>
      </c>
      <c r="L71" s="950"/>
      <c r="M71" s="943"/>
      <c r="N71" s="1109"/>
      <c r="O71" s="944"/>
      <c r="P71" s="945" t="str">
        <f t="shared" si="56"/>
        <v/>
      </c>
      <c r="Q71" s="1284"/>
      <c r="R71" s="1284"/>
      <c r="S71" s="946"/>
      <c r="T71" s="947">
        <v>2041.38</v>
      </c>
    </row>
    <row r="72" spans="1:20" ht="30.65" customHeight="1">
      <c r="A72" s="1273"/>
      <c r="B72" s="935">
        <f t="shared" si="57"/>
        <v>48</v>
      </c>
      <c r="C72" s="1002" t="s">
        <v>325</v>
      </c>
      <c r="D72" s="1005"/>
      <c r="E72" s="938"/>
      <c r="F72" s="938"/>
      <c r="G72" s="938"/>
      <c r="H72" s="939"/>
      <c r="I72" s="940"/>
      <c r="J72" s="940"/>
      <c r="K72" s="941">
        <f t="shared" si="55"/>
        <v>0</v>
      </c>
      <c r="L72" s="952"/>
      <c r="M72" s="943"/>
      <c r="N72" s="1109"/>
      <c r="O72" s="944"/>
      <c r="P72" s="945" t="str">
        <f t="shared" si="56"/>
        <v/>
      </c>
      <c r="Q72" s="1284"/>
      <c r="R72" s="1284"/>
      <c r="S72" s="946"/>
      <c r="T72" s="947">
        <v>9570.8799999999992</v>
      </c>
    </row>
    <row r="73" spans="1:20">
      <c r="A73" s="1273"/>
      <c r="B73" s="953"/>
      <c r="C73" s="954"/>
      <c r="D73" s="955"/>
      <c r="E73" s="955"/>
      <c r="F73" s="955"/>
      <c r="G73" s="955"/>
      <c r="H73" s="954"/>
      <c r="I73" s="956">
        <f t="shared" ref="I73:J73" si="58">SUM(I69:I72)</f>
        <v>0</v>
      </c>
      <c r="J73" s="956">
        <f t="shared" si="58"/>
        <v>0</v>
      </c>
      <c r="K73" s="957">
        <f>SUM(K69:K72)</f>
        <v>0</v>
      </c>
      <c r="L73" s="958"/>
      <c r="M73" s="959"/>
      <c r="N73" s="960">
        <f>SUM(N69:N72)</f>
        <v>0</v>
      </c>
      <c r="O73" s="961">
        <f>SUM(O69:O72)</f>
        <v>0</v>
      </c>
      <c r="P73" s="953" t="str">
        <f>IFERROR(AVERAGE(P69:P72),"")</f>
        <v/>
      </c>
      <c r="Q73" s="1284"/>
      <c r="R73" s="1284"/>
      <c r="S73" s="962">
        <f>SUM(S69:S72)</f>
        <v>0</v>
      </c>
      <c r="T73" s="963">
        <f>SUM(T69:T72)</f>
        <v>11612.259999999998</v>
      </c>
    </row>
    <row r="74" spans="1:20" ht="30.65" customHeight="1">
      <c r="A74" s="1300" t="s">
        <v>326</v>
      </c>
      <c r="B74" s="935">
        <f>B72+1</f>
        <v>49</v>
      </c>
      <c r="C74" s="1002" t="s">
        <v>327</v>
      </c>
      <c r="D74" s="997"/>
      <c r="E74" s="938"/>
      <c r="F74" s="938"/>
      <c r="G74" s="938"/>
      <c r="H74" s="939"/>
      <c r="I74" s="940"/>
      <c r="J74" s="940"/>
      <c r="K74" s="941">
        <f t="shared" ref="K74:K78" si="59">I74+J74</f>
        <v>0</v>
      </c>
      <c r="L74" s="942"/>
      <c r="M74" s="943"/>
      <c r="N74" s="1109"/>
      <c r="O74" s="944"/>
      <c r="P74" s="945" t="str">
        <f t="shared" ref="P74:P78" si="60">IF(N74,MIN(1,O74/N74),"")</f>
        <v/>
      </c>
      <c r="Q74" s="1284"/>
      <c r="R74" s="1284"/>
      <c r="S74" s="946"/>
      <c r="T74" s="947"/>
    </row>
    <row r="75" spans="1:20" ht="30.65" customHeight="1">
      <c r="A75" s="1300"/>
      <c r="B75" s="935">
        <f>B74+1</f>
        <v>50</v>
      </c>
      <c r="C75" s="1002" t="s">
        <v>328</v>
      </c>
      <c r="D75" s="1003"/>
      <c r="E75" s="938"/>
      <c r="F75" s="938"/>
      <c r="G75" s="938"/>
      <c r="H75" s="939"/>
      <c r="I75" s="940"/>
      <c r="J75" s="940"/>
      <c r="K75" s="941">
        <f t="shared" si="59"/>
        <v>0</v>
      </c>
      <c r="L75" s="950"/>
      <c r="M75" s="943"/>
      <c r="N75" s="1109"/>
      <c r="O75" s="944"/>
      <c r="P75" s="945" t="str">
        <f t="shared" si="60"/>
        <v/>
      </c>
      <c r="Q75" s="1284"/>
      <c r="R75" s="1284"/>
      <c r="S75" s="946"/>
      <c r="T75" s="947"/>
    </row>
    <row r="76" spans="1:20" ht="30.65" customHeight="1">
      <c r="A76" s="1300"/>
      <c r="B76" s="935">
        <f t="shared" ref="B76:B78" si="61">B75+1</f>
        <v>51</v>
      </c>
      <c r="C76" s="1002" t="s">
        <v>329</v>
      </c>
      <c r="D76" s="1003"/>
      <c r="E76" s="938"/>
      <c r="F76" s="938"/>
      <c r="G76" s="938"/>
      <c r="H76" s="939"/>
      <c r="I76" s="940"/>
      <c r="J76" s="940"/>
      <c r="K76" s="941">
        <f t="shared" si="59"/>
        <v>0</v>
      </c>
      <c r="L76" s="950"/>
      <c r="M76" s="943"/>
      <c r="N76" s="1109"/>
      <c r="O76" s="944"/>
      <c r="P76" s="945" t="str">
        <f t="shared" si="60"/>
        <v/>
      </c>
      <c r="Q76" s="1284"/>
      <c r="R76" s="1284"/>
      <c r="S76" s="946"/>
      <c r="T76" s="947">
        <v>3676.93</v>
      </c>
    </row>
    <row r="77" spans="1:20" ht="30.65" customHeight="1">
      <c r="A77" s="1273"/>
      <c r="B77" s="935">
        <f t="shared" si="61"/>
        <v>52</v>
      </c>
      <c r="C77" s="1002" t="s">
        <v>330</v>
      </c>
      <c r="D77" s="1003"/>
      <c r="E77" s="938"/>
      <c r="F77" s="938"/>
      <c r="G77" s="938"/>
      <c r="H77" s="939"/>
      <c r="I77" s="940"/>
      <c r="J77" s="940"/>
      <c r="K77" s="941">
        <f t="shared" si="59"/>
        <v>0</v>
      </c>
      <c r="L77" s="950"/>
      <c r="M77" s="943"/>
      <c r="N77" s="1109"/>
      <c r="O77" s="944"/>
      <c r="P77" s="945" t="str">
        <f t="shared" si="60"/>
        <v/>
      </c>
      <c r="Q77" s="1284"/>
      <c r="R77" s="1284"/>
      <c r="S77" s="946"/>
      <c r="T77" s="947"/>
    </row>
    <row r="78" spans="1:20" ht="30.65" customHeight="1">
      <c r="A78" s="1273"/>
      <c r="B78" s="935">
        <f t="shared" si="61"/>
        <v>53</v>
      </c>
      <c r="C78" s="1002" t="s">
        <v>331</v>
      </c>
      <c r="D78" s="1005"/>
      <c r="E78" s="938"/>
      <c r="F78" s="938"/>
      <c r="G78" s="938"/>
      <c r="H78" s="939"/>
      <c r="I78" s="940"/>
      <c r="J78" s="940"/>
      <c r="K78" s="941">
        <f t="shared" si="59"/>
        <v>0</v>
      </c>
      <c r="L78" s="952"/>
      <c r="M78" s="1110"/>
      <c r="N78" s="1109"/>
      <c r="O78" s="944"/>
      <c r="P78" s="945" t="str">
        <f t="shared" si="60"/>
        <v/>
      </c>
      <c r="Q78" s="1284"/>
      <c r="R78" s="1284"/>
      <c r="S78" s="946"/>
      <c r="T78" s="947">
        <v>3757.83</v>
      </c>
    </row>
    <row r="79" spans="1:20">
      <c r="A79" s="1273"/>
      <c r="B79" s="953"/>
      <c r="C79" s="954"/>
      <c r="D79" s="955"/>
      <c r="E79" s="955"/>
      <c r="F79" s="955"/>
      <c r="G79" s="955"/>
      <c r="H79" s="954"/>
      <c r="I79" s="956">
        <f t="shared" ref="I79:J79" si="62">SUM(I74:I78)</f>
        <v>0</v>
      </c>
      <c r="J79" s="956">
        <f t="shared" si="62"/>
        <v>0</v>
      </c>
      <c r="K79" s="957">
        <f>SUM(K74:K78)</f>
        <v>0</v>
      </c>
      <c r="L79" s="958"/>
      <c r="M79" s="959"/>
      <c r="N79" s="960">
        <f>SUM(N74:N78)</f>
        <v>0</v>
      </c>
      <c r="O79" s="961">
        <f>SUM(O74:O78)</f>
        <v>0</v>
      </c>
      <c r="P79" s="953" t="str">
        <f>IFERROR(AVERAGE(P74:P78),"")</f>
        <v/>
      </c>
      <c r="Q79" s="1284"/>
      <c r="R79" s="1284"/>
      <c r="S79" s="962">
        <f>SUM(S74:S78)</f>
        <v>0</v>
      </c>
      <c r="T79" s="963">
        <f>SUM(T74:T78)</f>
        <v>7434.76</v>
      </c>
    </row>
    <row r="80" spans="1:20" ht="30.65" customHeight="1">
      <c r="A80" s="1271" t="s">
        <v>332</v>
      </c>
      <c r="B80" s="935">
        <f>B78+1</f>
        <v>54</v>
      </c>
      <c r="C80" s="1002" t="s">
        <v>333</v>
      </c>
      <c r="D80" s="997"/>
      <c r="E80" s="938"/>
      <c r="F80" s="938"/>
      <c r="G80" s="938"/>
      <c r="H80" s="939"/>
      <c r="I80" s="940"/>
      <c r="J80" s="940"/>
      <c r="K80" s="941">
        <f t="shared" ref="K80:K83" si="63">I80+J80</f>
        <v>0</v>
      </c>
      <c r="L80" s="942"/>
      <c r="M80" s="943"/>
      <c r="N80" s="1109"/>
      <c r="O80" s="944"/>
      <c r="P80" s="945" t="str">
        <f t="shared" ref="P80:P83" si="64">IF(N80,MIN(1,O80/N80),"")</f>
        <v/>
      </c>
      <c r="Q80" s="1284"/>
      <c r="R80" s="1284"/>
      <c r="S80" s="946"/>
      <c r="T80" s="947"/>
    </row>
    <row r="81" spans="1:20" ht="30.65" customHeight="1">
      <c r="A81" s="1272"/>
      <c r="B81" s="935">
        <f>B80+1</f>
        <v>55</v>
      </c>
      <c r="C81" s="1002" t="s">
        <v>334</v>
      </c>
      <c r="D81" s="1003"/>
      <c r="E81" s="938"/>
      <c r="F81" s="938"/>
      <c r="G81" s="938"/>
      <c r="H81" s="939"/>
      <c r="I81" s="940"/>
      <c r="J81" s="940"/>
      <c r="K81" s="941">
        <f t="shared" si="63"/>
        <v>0</v>
      </c>
      <c r="L81" s="950"/>
      <c r="M81" s="943"/>
      <c r="N81" s="1109"/>
      <c r="O81" s="944"/>
      <c r="P81" s="945" t="str">
        <f t="shared" si="64"/>
        <v/>
      </c>
      <c r="Q81" s="1284"/>
      <c r="R81" s="1284"/>
      <c r="S81" s="946"/>
      <c r="T81" s="947"/>
    </row>
    <row r="82" spans="1:20" ht="30.65" customHeight="1">
      <c r="A82" s="1273"/>
      <c r="B82" s="935">
        <f t="shared" ref="B82:B83" si="65">B81+1</f>
        <v>56</v>
      </c>
      <c r="C82" s="1002" t="s">
        <v>335</v>
      </c>
      <c r="D82" s="1006"/>
      <c r="E82" s="938"/>
      <c r="F82" s="938"/>
      <c r="G82" s="938"/>
      <c r="H82" s="939"/>
      <c r="I82" s="940"/>
      <c r="J82" s="940"/>
      <c r="K82" s="941">
        <f t="shared" si="63"/>
        <v>0</v>
      </c>
      <c r="L82" s="950"/>
      <c r="M82" s="943"/>
      <c r="N82" s="1109"/>
      <c r="O82" s="944"/>
      <c r="P82" s="945" t="str">
        <f t="shared" si="64"/>
        <v/>
      </c>
      <c r="Q82" s="1284"/>
      <c r="R82" s="1284"/>
      <c r="S82" s="946"/>
      <c r="T82" s="947"/>
    </row>
    <row r="83" spans="1:20" ht="30.65" customHeight="1">
      <c r="A83" s="1273"/>
      <c r="B83" s="935">
        <f t="shared" si="65"/>
        <v>57</v>
      </c>
      <c r="C83" s="1002" t="s">
        <v>336</v>
      </c>
      <c r="D83" s="1005"/>
      <c r="E83" s="938"/>
      <c r="F83" s="938"/>
      <c r="G83" s="938"/>
      <c r="H83" s="939"/>
      <c r="I83" s="940"/>
      <c r="J83" s="940"/>
      <c r="K83" s="941">
        <f t="shared" si="63"/>
        <v>0</v>
      </c>
      <c r="L83" s="952"/>
      <c r="M83" s="943"/>
      <c r="N83" s="1109"/>
      <c r="O83" s="944"/>
      <c r="P83" s="945" t="str">
        <f t="shared" si="64"/>
        <v/>
      </c>
      <c r="Q83" s="1284"/>
      <c r="R83" s="1284"/>
      <c r="S83" s="946"/>
      <c r="T83" s="947"/>
    </row>
    <row r="84" spans="1:20">
      <c r="A84" s="1273"/>
      <c r="B84" s="953"/>
      <c r="C84" s="954"/>
      <c r="D84" s="955"/>
      <c r="E84" s="955"/>
      <c r="F84" s="955"/>
      <c r="G84" s="955"/>
      <c r="H84" s="954"/>
      <c r="I84" s="956">
        <f t="shared" ref="I84:J84" si="66">SUM(I80:I83)</f>
        <v>0</v>
      </c>
      <c r="J84" s="956">
        <f t="shared" si="66"/>
        <v>0</v>
      </c>
      <c r="K84" s="957">
        <f>SUM(K80:K83)</f>
        <v>0</v>
      </c>
      <c r="L84" s="958"/>
      <c r="M84" s="959"/>
      <c r="N84" s="960">
        <f>SUM(N80:N83)</f>
        <v>0</v>
      </c>
      <c r="O84" s="961">
        <f>SUM(O80:O83)</f>
        <v>0</v>
      </c>
      <c r="P84" s="953" t="str">
        <f>IFERROR(AVERAGE(P80:P83),"")</f>
        <v/>
      </c>
      <c r="Q84" s="953" t="str">
        <f>IFERROR(AVERAGE(P69:P72,P74:P78,P80:P83),"")</f>
        <v/>
      </c>
      <c r="R84" s="1284"/>
      <c r="S84" s="962">
        <f>SUM(S80:S83)</f>
        <v>0</v>
      </c>
      <c r="T84" s="963">
        <f>SUM(T80:T83)</f>
        <v>0</v>
      </c>
    </row>
    <row r="85" spans="1:20" ht="30.75" customHeight="1">
      <c r="A85" s="979" t="s">
        <v>337</v>
      </c>
      <c r="B85" s="980"/>
      <c r="C85" s="980"/>
      <c r="D85" s="981"/>
      <c r="E85" s="982" t="s">
        <v>248</v>
      </c>
      <c r="F85" s="983" t="s">
        <v>249</v>
      </c>
      <c r="G85" s="983" t="s">
        <v>250</v>
      </c>
      <c r="H85" s="984" t="s">
        <v>251</v>
      </c>
      <c r="I85" s="985">
        <f t="shared" ref="I85:J85" si="67">I89+I94</f>
        <v>0</v>
      </c>
      <c r="J85" s="986">
        <f t="shared" si="67"/>
        <v>0</v>
      </c>
      <c r="K85" s="987">
        <f>K89+K94</f>
        <v>0</v>
      </c>
      <c r="L85" s="988"/>
      <c r="M85" s="989"/>
      <c r="N85" s="990"/>
      <c r="O85" s="991"/>
      <c r="P85" s="988"/>
      <c r="Q85" s="992"/>
      <c r="R85" s="1284"/>
      <c r="S85" s="994">
        <f t="shared" ref="S85:T85" si="68">S89+S94</f>
        <v>0</v>
      </c>
      <c r="T85" s="995">
        <f t="shared" si="68"/>
        <v>12172.869999999999</v>
      </c>
    </row>
    <row r="86" spans="1:20" ht="30.65" customHeight="1">
      <c r="A86" s="1271" t="s">
        <v>338</v>
      </c>
      <c r="B86" s="935">
        <f>B83+1</f>
        <v>58</v>
      </c>
      <c r="C86" s="1002" t="s">
        <v>339</v>
      </c>
      <c r="D86" s="997"/>
      <c r="E86" s="938"/>
      <c r="F86" s="938"/>
      <c r="G86" s="938"/>
      <c r="H86" s="939"/>
      <c r="I86" s="940"/>
      <c r="J86" s="940"/>
      <c r="K86" s="941">
        <f t="shared" ref="K86:K88" si="69">I86+J86</f>
        <v>0</v>
      </c>
      <c r="L86" s="942"/>
      <c r="M86" s="943"/>
      <c r="N86" s="1109"/>
      <c r="O86" s="944"/>
      <c r="P86" s="945" t="str">
        <f t="shared" ref="P86:P88" si="70">IF(N86,MIN(1,O86/N86),"")</f>
        <v/>
      </c>
      <c r="Q86" s="1269"/>
      <c r="R86" s="1284"/>
      <c r="S86" s="946"/>
      <c r="T86" s="947"/>
    </row>
    <row r="87" spans="1:20" ht="30.65" customHeight="1">
      <c r="A87" s="1272"/>
      <c r="B87" s="935">
        <f>B83+1</f>
        <v>58</v>
      </c>
      <c r="C87" s="1002" t="s">
        <v>340</v>
      </c>
      <c r="D87" s="1003"/>
      <c r="E87" s="938"/>
      <c r="F87" s="938"/>
      <c r="G87" s="938"/>
      <c r="H87" s="939"/>
      <c r="I87" s="940"/>
      <c r="J87" s="940"/>
      <c r="K87" s="941">
        <f t="shared" si="69"/>
        <v>0</v>
      </c>
      <c r="L87" s="950"/>
      <c r="M87" s="943"/>
      <c r="N87" s="1109"/>
      <c r="O87" s="944"/>
      <c r="P87" s="945" t="str">
        <f t="shared" si="70"/>
        <v/>
      </c>
      <c r="Q87" s="1270"/>
      <c r="R87" s="1284"/>
      <c r="S87" s="946"/>
      <c r="T87" s="947"/>
    </row>
    <row r="88" spans="1:20" ht="30.65" customHeight="1">
      <c r="A88" s="1273"/>
      <c r="B88" s="935">
        <f>B86+1</f>
        <v>59</v>
      </c>
      <c r="C88" s="1002" t="s">
        <v>341</v>
      </c>
      <c r="D88" s="1006"/>
      <c r="E88" s="938"/>
      <c r="F88" s="938"/>
      <c r="G88" s="938"/>
      <c r="H88" s="939"/>
      <c r="I88" s="940"/>
      <c r="J88" s="940"/>
      <c r="K88" s="941">
        <f t="shared" si="69"/>
        <v>0</v>
      </c>
      <c r="L88" s="950"/>
      <c r="M88" s="943"/>
      <c r="N88" s="1109"/>
      <c r="O88" s="944"/>
      <c r="P88" s="945" t="str">
        <f t="shared" si="70"/>
        <v/>
      </c>
      <c r="Q88" s="1270"/>
      <c r="R88" s="1284"/>
      <c r="S88" s="946"/>
      <c r="T88" s="947"/>
    </row>
    <row r="89" spans="1:20">
      <c r="A89" s="1273"/>
      <c r="B89" s="953"/>
      <c r="C89" s="954"/>
      <c r="D89" s="955"/>
      <c r="E89" s="955"/>
      <c r="F89" s="955"/>
      <c r="G89" s="955"/>
      <c r="H89" s="954"/>
      <c r="I89" s="956">
        <f>SUM(I86:I88)</f>
        <v>0</v>
      </c>
      <c r="J89" s="956">
        <f>SUM(J86:J88)</f>
        <v>0</v>
      </c>
      <c r="K89" s="957">
        <f>SUM(K86:K88)</f>
        <v>0</v>
      </c>
      <c r="L89" s="958"/>
      <c r="M89" s="959"/>
      <c r="N89" s="1007">
        <f>SUM(N86:N88)</f>
        <v>0</v>
      </c>
      <c r="O89" s="1008">
        <f>SUM(O86:O88)</f>
        <v>0</v>
      </c>
      <c r="P89" s="953" t="str">
        <f>IFERROR(AVERAGE(P86:P88),"")</f>
        <v/>
      </c>
      <c r="Q89" s="1270"/>
      <c r="R89" s="1284"/>
      <c r="S89" s="962">
        <f>SUM(S86:S88)</f>
        <v>0</v>
      </c>
      <c r="T89" s="963">
        <f>SUM(T86:T88)</f>
        <v>0</v>
      </c>
    </row>
    <row r="90" spans="1:20" ht="30.65" customHeight="1">
      <c r="A90" s="1271" t="s">
        <v>342</v>
      </c>
      <c r="B90" s="935">
        <f>B88+1</f>
        <v>60</v>
      </c>
      <c r="C90" s="1002" t="s">
        <v>343</v>
      </c>
      <c r="D90" s="997"/>
      <c r="E90" s="938"/>
      <c r="F90" s="938"/>
      <c r="G90" s="938"/>
      <c r="H90" s="939"/>
      <c r="I90" s="940"/>
      <c r="J90" s="940"/>
      <c r="K90" s="941">
        <f t="shared" ref="K90:K93" si="71">I90+J90</f>
        <v>0</v>
      </c>
      <c r="L90" s="942"/>
      <c r="M90" s="943"/>
      <c r="N90" s="1109"/>
      <c r="O90" s="944"/>
      <c r="P90" s="945" t="str">
        <f t="shared" ref="P90:P93" si="72">IF(N90,MIN(1,O90/N90),"")</f>
        <v/>
      </c>
      <c r="Q90" s="1270"/>
      <c r="R90" s="1284"/>
      <c r="S90" s="946"/>
      <c r="T90" s="947"/>
    </row>
    <row r="91" spans="1:20" ht="30.65" customHeight="1">
      <c r="A91" s="1272"/>
      <c r="B91" s="935">
        <f>B90+1</f>
        <v>61</v>
      </c>
      <c r="C91" s="1002" t="s">
        <v>344</v>
      </c>
      <c r="D91" s="1003"/>
      <c r="E91" s="938"/>
      <c r="F91" s="938"/>
      <c r="G91" s="938"/>
      <c r="H91" s="939"/>
      <c r="I91" s="940"/>
      <c r="J91" s="940"/>
      <c r="K91" s="941">
        <f t="shared" si="71"/>
        <v>0</v>
      </c>
      <c r="L91" s="950"/>
      <c r="M91" s="943"/>
      <c r="N91" s="1109"/>
      <c r="O91" s="944"/>
      <c r="P91" s="945" t="str">
        <f t="shared" si="72"/>
        <v/>
      </c>
      <c r="Q91" s="1270"/>
      <c r="R91" s="1284"/>
      <c r="S91" s="946"/>
      <c r="T91" s="947">
        <v>2729.32</v>
      </c>
    </row>
    <row r="92" spans="1:20" ht="30.65" customHeight="1">
      <c r="A92" s="1273"/>
      <c r="B92" s="935">
        <f t="shared" ref="B92:B93" si="73">B91+1</f>
        <v>62</v>
      </c>
      <c r="C92" s="1002" t="s">
        <v>345</v>
      </c>
      <c r="D92" s="1006"/>
      <c r="E92" s="938"/>
      <c r="F92" s="938"/>
      <c r="G92" s="938"/>
      <c r="H92" s="939"/>
      <c r="I92" s="940"/>
      <c r="J92" s="940"/>
      <c r="K92" s="941">
        <f t="shared" si="71"/>
        <v>0</v>
      </c>
      <c r="L92" s="950"/>
      <c r="M92" s="943"/>
      <c r="N92" s="1109"/>
      <c r="O92" s="944"/>
      <c r="P92" s="945" t="str">
        <f t="shared" si="72"/>
        <v/>
      </c>
      <c r="Q92" s="1270"/>
      <c r="R92" s="1284"/>
      <c r="S92" s="946"/>
      <c r="T92" s="947">
        <v>1671.33</v>
      </c>
    </row>
    <row r="93" spans="1:20" ht="30.65" customHeight="1">
      <c r="A93" s="1273"/>
      <c r="B93" s="935">
        <f t="shared" si="73"/>
        <v>63</v>
      </c>
      <c r="C93" s="1002" t="s">
        <v>346</v>
      </c>
      <c r="D93" s="1005"/>
      <c r="E93" s="938"/>
      <c r="F93" s="938"/>
      <c r="G93" s="938"/>
      <c r="H93" s="939"/>
      <c r="I93" s="940"/>
      <c r="J93" s="940"/>
      <c r="K93" s="941">
        <f t="shared" si="71"/>
        <v>0</v>
      </c>
      <c r="L93" s="952"/>
      <c r="M93" s="943"/>
      <c r="N93" s="1109"/>
      <c r="O93" s="944"/>
      <c r="P93" s="945" t="str">
        <f t="shared" si="72"/>
        <v/>
      </c>
      <c r="Q93" s="1270"/>
      <c r="R93" s="1284"/>
      <c r="S93" s="946"/>
      <c r="T93" s="947">
        <v>7772.22</v>
      </c>
    </row>
    <row r="94" spans="1:20">
      <c r="A94" s="1273"/>
      <c r="B94" s="953"/>
      <c r="C94" s="954"/>
      <c r="D94" s="955"/>
      <c r="E94" s="955"/>
      <c r="F94" s="955"/>
      <c r="G94" s="955"/>
      <c r="H94" s="954"/>
      <c r="I94" s="956">
        <f t="shared" ref="I94:J94" si="74">SUM(I90:I93)</f>
        <v>0</v>
      </c>
      <c r="J94" s="956">
        <f t="shared" si="74"/>
        <v>0</v>
      </c>
      <c r="K94" s="957">
        <f>SUM(K90:K93)</f>
        <v>0</v>
      </c>
      <c r="L94" s="958"/>
      <c r="M94" s="959"/>
      <c r="N94" s="1009">
        <f>SUM(N90:N93)</f>
        <v>0</v>
      </c>
      <c r="O94" s="1010">
        <f>SUM(O90:O93)</f>
        <v>0</v>
      </c>
      <c r="P94" s="953" t="str">
        <f>IFERROR(AVERAGE(P90:P93),"")</f>
        <v/>
      </c>
      <c r="Q94" s="953" t="str">
        <f>IFERROR(AVERAGE(P86:P88,P90:P93),"")</f>
        <v/>
      </c>
      <c r="R94" s="953" t="str">
        <f>IFERROR(AVERAGE(P46:P51,P53:P58,P60:P66,P69:P72,P74:P78,P80:P83,P86:P88,P90:P93),"")</f>
        <v/>
      </c>
      <c r="S94" s="962">
        <f>SUM(S90:S93)</f>
        <v>0</v>
      </c>
      <c r="T94" s="963">
        <f>SUM(T90:T93)</f>
        <v>12172.869999999999</v>
      </c>
    </row>
    <row r="95" spans="1:20" ht="79.5" customHeight="1">
      <c r="A95" s="965" t="s">
        <v>205</v>
      </c>
      <c r="B95" s="966"/>
      <c r="C95" s="966"/>
      <c r="D95" s="966"/>
      <c r="E95" s="966"/>
      <c r="F95" s="966"/>
      <c r="G95" s="966"/>
      <c r="H95" s="967"/>
      <c r="I95" s="968">
        <f t="shared" ref="I95:J95" si="75">I96+I107+I119</f>
        <v>0</v>
      </c>
      <c r="J95" s="969">
        <f t="shared" si="75"/>
        <v>0</v>
      </c>
      <c r="K95" s="970">
        <f>K96+K107+K119</f>
        <v>0</v>
      </c>
      <c r="L95" s="971"/>
      <c r="M95" s="972"/>
      <c r="N95" s="973"/>
      <c r="O95" s="974"/>
      <c r="P95" s="975"/>
      <c r="Q95" s="975"/>
      <c r="R95" s="976"/>
      <c r="S95" s="977">
        <f t="shared" ref="S95:T95" si="76">S96+S107+S119</f>
        <v>0</v>
      </c>
      <c r="T95" s="978">
        <f t="shared" si="76"/>
        <v>34625.79</v>
      </c>
    </row>
    <row r="96" spans="1:20" ht="30.65" customHeight="1">
      <c r="A96" s="979" t="s">
        <v>347</v>
      </c>
      <c r="B96" s="980"/>
      <c r="C96" s="980"/>
      <c r="D96" s="981"/>
      <c r="E96" s="982" t="s">
        <v>248</v>
      </c>
      <c r="F96" s="983" t="s">
        <v>249</v>
      </c>
      <c r="G96" s="983" t="s">
        <v>250</v>
      </c>
      <c r="H96" s="984" t="s">
        <v>251</v>
      </c>
      <c r="I96" s="985">
        <f t="shared" ref="I96:J96" si="77">I100+I106</f>
        <v>0</v>
      </c>
      <c r="J96" s="986">
        <f t="shared" si="77"/>
        <v>0</v>
      </c>
      <c r="K96" s="987">
        <f>K100+K106</f>
        <v>0</v>
      </c>
      <c r="L96" s="988"/>
      <c r="M96" s="989"/>
      <c r="N96" s="1011"/>
      <c r="O96" s="1012"/>
      <c r="P96" s="988"/>
      <c r="Q96" s="992"/>
      <c r="R96" s="993"/>
      <c r="S96" s="994">
        <f t="shared" ref="S96:T96" si="78">S100+S106</f>
        <v>0</v>
      </c>
      <c r="T96" s="995">
        <f t="shared" si="78"/>
        <v>28067.850000000002</v>
      </c>
    </row>
    <row r="97" spans="1:20" ht="30.65" customHeight="1">
      <c r="A97" s="1274" t="s">
        <v>348</v>
      </c>
      <c r="B97" s="935">
        <f>B93+1</f>
        <v>64</v>
      </c>
      <c r="C97" s="1002" t="s">
        <v>349</v>
      </c>
      <c r="D97" s="997"/>
      <c r="E97" s="938"/>
      <c r="F97" s="938"/>
      <c r="G97" s="938"/>
      <c r="H97" s="939"/>
      <c r="I97" s="940"/>
      <c r="J97" s="940"/>
      <c r="K97" s="941">
        <f t="shared" ref="K97:K99" si="79">I97+J97</f>
        <v>0</v>
      </c>
      <c r="L97" s="942"/>
      <c r="M97" s="943"/>
      <c r="N97" s="1109"/>
      <c r="O97" s="944"/>
      <c r="P97" s="1013" t="str">
        <f t="shared" ref="P97:P99" si="80">IF(N97,MIN(1,O97/N97),"")</f>
        <v/>
      </c>
      <c r="Q97" s="1277"/>
      <c r="R97" s="1279"/>
      <c r="S97" s="946"/>
      <c r="T97" s="947">
        <v>3357.78</v>
      </c>
    </row>
    <row r="98" spans="1:20" ht="30.65" customHeight="1">
      <c r="A98" s="1275"/>
      <c r="B98" s="935">
        <f>B97+1</f>
        <v>65</v>
      </c>
      <c r="C98" s="1002" t="s">
        <v>350</v>
      </c>
      <c r="D98" s="1003"/>
      <c r="E98" s="938"/>
      <c r="F98" s="938"/>
      <c r="G98" s="938"/>
      <c r="H98" s="939"/>
      <c r="I98" s="940"/>
      <c r="J98" s="940"/>
      <c r="K98" s="941">
        <f t="shared" si="79"/>
        <v>0</v>
      </c>
      <c r="L98" s="950"/>
      <c r="M98" s="943"/>
      <c r="N98" s="1109"/>
      <c r="O98" s="944"/>
      <c r="P98" s="1013" t="str">
        <f t="shared" si="80"/>
        <v/>
      </c>
      <c r="Q98" s="1278"/>
      <c r="R98" s="1280"/>
      <c r="S98" s="946"/>
      <c r="T98" s="947"/>
    </row>
    <row r="99" spans="1:20" ht="30.65" customHeight="1">
      <c r="A99" s="1275"/>
      <c r="B99" s="935">
        <f>B98+1</f>
        <v>66</v>
      </c>
      <c r="C99" s="1002" t="s">
        <v>351</v>
      </c>
      <c r="D99" s="1014"/>
      <c r="E99" s="938"/>
      <c r="F99" s="938"/>
      <c r="G99" s="938"/>
      <c r="H99" s="939"/>
      <c r="I99" s="940"/>
      <c r="J99" s="940"/>
      <c r="K99" s="941">
        <f t="shared" si="79"/>
        <v>0</v>
      </c>
      <c r="L99" s="952"/>
      <c r="M99" s="943"/>
      <c r="N99" s="1109"/>
      <c r="O99" s="944"/>
      <c r="P99" s="1013" t="str">
        <f t="shared" si="80"/>
        <v/>
      </c>
      <c r="Q99" s="1278"/>
      <c r="R99" s="1280"/>
      <c r="S99" s="946"/>
      <c r="T99" s="947">
        <v>1195.53</v>
      </c>
    </row>
    <row r="100" spans="1:20">
      <c r="A100" s="1276"/>
      <c r="B100" s="953"/>
      <c r="C100" s="954"/>
      <c r="D100" s="955"/>
      <c r="E100" s="955"/>
      <c r="F100" s="955"/>
      <c r="G100" s="955"/>
      <c r="H100" s="954"/>
      <c r="I100" s="956">
        <f t="shared" ref="I100:J100" si="81">SUM(I97:I99)</f>
        <v>0</v>
      </c>
      <c r="J100" s="956">
        <f t="shared" si="81"/>
        <v>0</v>
      </c>
      <c r="K100" s="957">
        <f>SUM(K97:K99)</f>
        <v>0</v>
      </c>
      <c r="L100" s="958"/>
      <c r="M100" s="959"/>
      <c r="N100" s="1009">
        <f>SUM(N97:N99)</f>
        <v>0</v>
      </c>
      <c r="O100" s="1010">
        <f>SUM(O97:O99)</f>
        <v>0</v>
      </c>
      <c r="P100" s="953" t="str">
        <f>IFERROR(AVERAGE(P97:P99),"")</f>
        <v/>
      </c>
      <c r="Q100" s="1278"/>
      <c r="R100" s="1280"/>
      <c r="S100" s="962">
        <f>SUM(S97:S99)</f>
        <v>0</v>
      </c>
      <c r="T100" s="963">
        <f>SUM(T97:T99)</f>
        <v>4553.3100000000004</v>
      </c>
    </row>
    <row r="101" spans="1:20" ht="31.5" customHeight="1">
      <c r="A101" s="1274" t="s">
        <v>352</v>
      </c>
      <c r="B101" s="935">
        <f>B99+1</f>
        <v>67</v>
      </c>
      <c r="C101" s="1002" t="s">
        <v>353</v>
      </c>
      <c r="D101" s="997"/>
      <c r="E101" s="938"/>
      <c r="F101" s="938"/>
      <c r="G101" s="938"/>
      <c r="H101" s="939"/>
      <c r="I101" s="940"/>
      <c r="J101" s="940"/>
      <c r="K101" s="941">
        <f t="shared" ref="K101:K105" si="82">I101+J101</f>
        <v>0</v>
      </c>
      <c r="L101" s="942"/>
      <c r="M101" s="943"/>
      <c r="N101" s="1109"/>
      <c r="O101" s="944"/>
      <c r="P101" s="1013" t="str">
        <f t="shared" ref="P101:P105" si="83">IF(N101,MIN(1,O101/N101),"")</f>
        <v/>
      </c>
      <c r="Q101" s="1278"/>
      <c r="R101" s="1280"/>
      <c r="S101" s="946"/>
      <c r="T101" s="947">
        <v>14317.15</v>
      </c>
    </row>
    <row r="102" spans="1:20" ht="31.5" customHeight="1">
      <c r="A102" s="1282"/>
      <c r="B102" s="935">
        <f>B101+1</f>
        <v>68</v>
      </c>
      <c r="C102" s="1002" t="s">
        <v>354</v>
      </c>
      <c r="D102" s="1003"/>
      <c r="E102" s="938"/>
      <c r="F102" s="938"/>
      <c r="G102" s="938"/>
      <c r="H102" s="939"/>
      <c r="I102" s="940"/>
      <c r="J102" s="940"/>
      <c r="K102" s="941">
        <f t="shared" si="82"/>
        <v>0</v>
      </c>
      <c r="L102" s="950"/>
      <c r="M102" s="943"/>
      <c r="N102" s="1109"/>
      <c r="O102" s="944"/>
      <c r="P102" s="1013" t="str">
        <f t="shared" si="83"/>
        <v/>
      </c>
      <c r="Q102" s="1278"/>
      <c r="R102" s="1280"/>
      <c r="S102" s="946"/>
      <c r="T102" s="947"/>
    </row>
    <row r="103" spans="1:20" ht="31.5" customHeight="1">
      <c r="A103" s="1282"/>
      <c r="B103" s="935">
        <f>B102+1</f>
        <v>69</v>
      </c>
      <c r="C103" s="1002" t="s">
        <v>355</v>
      </c>
      <c r="D103" s="1003"/>
      <c r="E103" s="938"/>
      <c r="F103" s="938"/>
      <c r="G103" s="938"/>
      <c r="H103" s="939"/>
      <c r="I103" s="940"/>
      <c r="J103" s="940"/>
      <c r="K103" s="941">
        <f t="shared" si="82"/>
        <v>0</v>
      </c>
      <c r="L103" s="950"/>
      <c r="M103" s="943"/>
      <c r="N103" s="1109"/>
      <c r="O103" s="944"/>
      <c r="P103" s="1013" t="str">
        <f t="shared" si="83"/>
        <v/>
      </c>
      <c r="Q103" s="1278"/>
      <c r="R103" s="1280"/>
      <c r="S103" s="946"/>
      <c r="T103" s="947">
        <v>6104.8</v>
      </c>
    </row>
    <row r="104" spans="1:20" ht="31.5" customHeight="1">
      <c r="A104" s="1275"/>
      <c r="B104" s="935">
        <f t="shared" ref="B104:B105" si="84">B103+1</f>
        <v>70</v>
      </c>
      <c r="C104" s="1002" t="s">
        <v>356</v>
      </c>
      <c r="D104" s="1003"/>
      <c r="E104" s="938"/>
      <c r="F104" s="938"/>
      <c r="G104" s="938"/>
      <c r="H104" s="939"/>
      <c r="I104" s="940"/>
      <c r="J104" s="940"/>
      <c r="K104" s="941">
        <f t="shared" si="82"/>
        <v>0</v>
      </c>
      <c r="L104" s="950"/>
      <c r="M104" s="943"/>
      <c r="N104" s="1109"/>
      <c r="O104" s="944"/>
      <c r="P104" s="1013" t="str">
        <f t="shared" si="83"/>
        <v/>
      </c>
      <c r="Q104" s="1278"/>
      <c r="R104" s="1280"/>
      <c r="S104" s="946"/>
      <c r="T104" s="947"/>
    </row>
    <row r="105" spans="1:20" ht="31.5" customHeight="1">
      <c r="A105" s="1275"/>
      <c r="B105" s="935">
        <f t="shared" si="84"/>
        <v>71</v>
      </c>
      <c r="C105" s="1002" t="s">
        <v>357</v>
      </c>
      <c r="D105" s="1014"/>
      <c r="E105" s="938"/>
      <c r="F105" s="938"/>
      <c r="G105" s="938"/>
      <c r="H105" s="939"/>
      <c r="I105" s="940"/>
      <c r="J105" s="940"/>
      <c r="K105" s="941">
        <f t="shared" si="82"/>
        <v>0</v>
      </c>
      <c r="L105" s="952"/>
      <c r="M105" s="943"/>
      <c r="N105" s="1109"/>
      <c r="O105" s="944"/>
      <c r="P105" s="1013" t="str">
        <f t="shared" si="83"/>
        <v/>
      </c>
      <c r="Q105" s="1278"/>
      <c r="R105" s="1280"/>
      <c r="S105" s="946"/>
      <c r="T105" s="947">
        <v>3092.59</v>
      </c>
    </row>
    <row r="106" spans="1:20">
      <c r="A106" s="1276"/>
      <c r="B106" s="953"/>
      <c r="C106" s="954"/>
      <c r="D106" s="955"/>
      <c r="E106" s="955"/>
      <c r="F106" s="955"/>
      <c r="G106" s="955"/>
      <c r="H106" s="954"/>
      <c r="I106" s="956">
        <f t="shared" ref="I106:J106" si="85">SUM(I101:I105)</f>
        <v>0</v>
      </c>
      <c r="J106" s="956">
        <f t="shared" si="85"/>
        <v>0</v>
      </c>
      <c r="K106" s="957">
        <f>SUM(K101:K105)</f>
        <v>0</v>
      </c>
      <c r="L106" s="958"/>
      <c r="M106" s="959"/>
      <c r="N106" s="960">
        <f>SUM(N101:N105)</f>
        <v>0</v>
      </c>
      <c r="O106" s="961">
        <f>SUM(O101:O105)</f>
        <v>0</v>
      </c>
      <c r="P106" s="953" t="str">
        <f>IFERROR(AVERAGE(P101:P105),"")</f>
        <v/>
      </c>
      <c r="Q106" s="953" t="str">
        <f>IFERROR(AVERAGE(P97:P99,P101:P105),"")</f>
        <v/>
      </c>
      <c r="R106" s="1280"/>
      <c r="S106" s="962">
        <f>SUM(S101:S105)</f>
        <v>0</v>
      </c>
      <c r="T106" s="963">
        <f>SUM(T101:T105)</f>
        <v>23514.54</v>
      </c>
    </row>
    <row r="107" spans="1:20" ht="30.65" customHeight="1">
      <c r="A107" s="979" t="s">
        <v>358</v>
      </c>
      <c r="B107" s="980"/>
      <c r="C107" s="980"/>
      <c r="D107" s="981"/>
      <c r="E107" s="982" t="s">
        <v>248</v>
      </c>
      <c r="F107" s="983" t="s">
        <v>249</v>
      </c>
      <c r="G107" s="983" t="s">
        <v>250</v>
      </c>
      <c r="H107" s="984" t="s">
        <v>251</v>
      </c>
      <c r="I107" s="985">
        <f t="shared" ref="I107:J107" si="86">I118</f>
        <v>0</v>
      </c>
      <c r="J107" s="986">
        <f t="shared" si="86"/>
        <v>0</v>
      </c>
      <c r="K107" s="987">
        <f>K118</f>
        <v>0</v>
      </c>
      <c r="L107" s="988"/>
      <c r="M107" s="989"/>
      <c r="N107" s="990"/>
      <c r="O107" s="991"/>
      <c r="P107" s="988"/>
      <c r="Q107" s="992"/>
      <c r="R107" s="1280"/>
      <c r="S107" s="994">
        <f t="shared" ref="S107:T107" si="87">S118</f>
        <v>0</v>
      </c>
      <c r="T107" s="995">
        <f t="shared" si="87"/>
        <v>4982.95</v>
      </c>
    </row>
    <row r="108" spans="1:20" ht="30.65" customHeight="1">
      <c r="A108" s="1274" t="s">
        <v>359</v>
      </c>
      <c r="B108" s="935">
        <f>B105+1</f>
        <v>72</v>
      </c>
      <c r="C108" s="1002" t="s">
        <v>360</v>
      </c>
      <c r="D108" s="997"/>
      <c r="E108" s="938"/>
      <c r="F108" s="938"/>
      <c r="G108" s="938"/>
      <c r="H108" s="939"/>
      <c r="I108" s="940"/>
      <c r="J108" s="940"/>
      <c r="K108" s="941">
        <f t="shared" ref="K108:K117" si="88">I108+J108</f>
        <v>0</v>
      </c>
      <c r="L108" s="942"/>
      <c r="M108" s="943"/>
      <c r="N108" s="1109"/>
      <c r="O108" s="944"/>
      <c r="P108" s="1013" t="str">
        <f t="shared" ref="P108:P117" si="89">IF(N108,MIN(1,O108/N108),"")</f>
        <v/>
      </c>
      <c r="Q108" s="1283"/>
      <c r="R108" s="1280"/>
      <c r="S108" s="946"/>
      <c r="T108" s="947"/>
    </row>
    <row r="109" spans="1:20" ht="30.65" customHeight="1">
      <c r="A109" s="1282"/>
      <c r="B109" s="935">
        <f>B108+1</f>
        <v>73</v>
      </c>
      <c r="C109" s="1002" t="s">
        <v>361</v>
      </c>
      <c r="D109" s="1003"/>
      <c r="E109" s="938"/>
      <c r="F109" s="938"/>
      <c r="G109" s="938"/>
      <c r="H109" s="939"/>
      <c r="I109" s="940"/>
      <c r="J109" s="940"/>
      <c r="K109" s="941">
        <f t="shared" si="88"/>
        <v>0</v>
      </c>
      <c r="L109" s="950"/>
      <c r="M109" s="943"/>
      <c r="N109" s="1109"/>
      <c r="O109" s="944"/>
      <c r="P109" s="1013" t="str">
        <f t="shared" si="89"/>
        <v/>
      </c>
      <c r="Q109" s="1284"/>
      <c r="R109" s="1280"/>
      <c r="S109" s="946"/>
      <c r="T109" s="947">
        <v>167.59</v>
      </c>
    </row>
    <row r="110" spans="1:20" ht="30.65" customHeight="1">
      <c r="A110" s="1282"/>
      <c r="B110" s="935">
        <f t="shared" ref="B110:B117" si="90">B109+1</f>
        <v>74</v>
      </c>
      <c r="C110" s="1002" t="s">
        <v>362</v>
      </c>
      <c r="D110" s="1003"/>
      <c r="E110" s="938"/>
      <c r="F110" s="938"/>
      <c r="G110" s="938"/>
      <c r="H110" s="939"/>
      <c r="I110" s="940"/>
      <c r="J110" s="940"/>
      <c r="K110" s="941">
        <f t="shared" si="88"/>
        <v>0</v>
      </c>
      <c r="L110" s="950"/>
      <c r="M110" s="943"/>
      <c r="N110" s="1109"/>
      <c r="O110" s="944"/>
      <c r="P110" s="1013" t="str">
        <f t="shared" si="89"/>
        <v/>
      </c>
      <c r="Q110" s="1284"/>
      <c r="R110" s="1280"/>
      <c r="S110" s="946"/>
      <c r="T110" s="947">
        <v>3167.27</v>
      </c>
    </row>
    <row r="111" spans="1:20" ht="30.65" customHeight="1">
      <c r="A111" s="1282"/>
      <c r="B111" s="935">
        <f t="shared" si="90"/>
        <v>75</v>
      </c>
      <c r="C111" s="1002" t="s">
        <v>363</v>
      </c>
      <c r="D111" s="1003"/>
      <c r="E111" s="938"/>
      <c r="F111" s="938"/>
      <c r="G111" s="938"/>
      <c r="H111" s="939"/>
      <c r="I111" s="940"/>
      <c r="J111" s="940"/>
      <c r="K111" s="941">
        <f t="shared" si="88"/>
        <v>0</v>
      </c>
      <c r="L111" s="950"/>
      <c r="M111" s="943"/>
      <c r="N111" s="1109"/>
      <c r="O111" s="944"/>
      <c r="P111" s="1013" t="str">
        <f t="shared" si="89"/>
        <v/>
      </c>
      <c r="Q111" s="1284"/>
      <c r="R111" s="1280"/>
      <c r="S111" s="946"/>
      <c r="T111" s="947"/>
    </row>
    <row r="112" spans="1:20" ht="30.65" customHeight="1">
      <c r="A112" s="1282"/>
      <c r="B112" s="935">
        <f t="shared" si="90"/>
        <v>76</v>
      </c>
      <c r="C112" s="1002" t="s">
        <v>364</v>
      </c>
      <c r="D112" s="1003"/>
      <c r="E112" s="938"/>
      <c r="F112" s="938"/>
      <c r="G112" s="938"/>
      <c r="H112" s="939"/>
      <c r="I112" s="940"/>
      <c r="J112" s="940"/>
      <c r="K112" s="941">
        <f t="shared" si="88"/>
        <v>0</v>
      </c>
      <c r="L112" s="950"/>
      <c r="M112" s="943"/>
      <c r="N112" s="1109"/>
      <c r="O112" s="944"/>
      <c r="P112" s="1013" t="str">
        <f t="shared" si="89"/>
        <v/>
      </c>
      <c r="Q112" s="1284"/>
      <c r="R112" s="1280"/>
      <c r="S112" s="946"/>
      <c r="T112" s="947"/>
    </row>
    <row r="113" spans="1:20" ht="30.65" customHeight="1">
      <c r="A113" s="1282"/>
      <c r="B113" s="935">
        <f t="shared" si="90"/>
        <v>77</v>
      </c>
      <c r="C113" s="1002" t="s">
        <v>365</v>
      </c>
      <c r="D113" s="1003"/>
      <c r="E113" s="938"/>
      <c r="F113" s="938"/>
      <c r="G113" s="938"/>
      <c r="H113" s="939"/>
      <c r="I113" s="940"/>
      <c r="J113" s="940"/>
      <c r="K113" s="941">
        <f t="shared" si="88"/>
        <v>0</v>
      </c>
      <c r="L113" s="950"/>
      <c r="M113" s="943"/>
      <c r="N113" s="1109"/>
      <c r="O113" s="944"/>
      <c r="P113" s="1013" t="str">
        <f t="shared" si="89"/>
        <v/>
      </c>
      <c r="Q113" s="1284"/>
      <c r="R113" s="1280"/>
      <c r="S113" s="946"/>
      <c r="T113" s="947"/>
    </row>
    <row r="114" spans="1:20" ht="30.65" customHeight="1">
      <c r="A114" s="1282"/>
      <c r="B114" s="935">
        <f t="shared" si="90"/>
        <v>78</v>
      </c>
      <c r="C114" s="1002" t="s">
        <v>366</v>
      </c>
      <c r="D114" s="1003"/>
      <c r="E114" s="938"/>
      <c r="F114" s="938"/>
      <c r="G114" s="938"/>
      <c r="H114" s="939"/>
      <c r="I114" s="940"/>
      <c r="J114" s="940"/>
      <c r="K114" s="941">
        <f t="shared" si="88"/>
        <v>0</v>
      </c>
      <c r="L114" s="950"/>
      <c r="M114" s="943"/>
      <c r="N114" s="1109"/>
      <c r="O114" s="944"/>
      <c r="P114" s="1013" t="str">
        <f t="shared" si="89"/>
        <v/>
      </c>
      <c r="Q114" s="1284"/>
      <c r="R114" s="1280"/>
      <c r="S114" s="946"/>
      <c r="T114" s="947">
        <v>1648.09</v>
      </c>
    </row>
    <row r="115" spans="1:20" ht="30.65" customHeight="1">
      <c r="A115" s="1282"/>
      <c r="B115" s="935">
        <f t="shared" si="90"/>
        <v>79</v>
      </c>
      <c r="C115" s="1002" t="s">
        <v>367</v>
      </c>
      <c r="D115" s="1003"/>
      <c r="E115" s="938"/>
      <c r="F115" s="938"/>
      <c r="G115" s="938"/>
      <c r="H115" s="939"/>
      <c r="I115" s="940"/>
      <c r="J115" s="940"/>
      <c r="K115" s="941">
        <f t="shared" si="88"/>
        <v>0</v>
      </c>
      <c r="L115" s="950"/>
      <c r="M115" s="943"/>
      <c r="N115" s="1109"/>
      <c r="O115" s="944"/>
      <c r="P115" s="1013" t="str">
        <f t="shared" si="89"/>
        <v/>
      </c>
      <c r="Q115" s="1284"/>
      <c r="R115" s="1280"/>
      <c r="S115" s="946"/>
      <c r="T115" s="947"/>
    </row>
    <row r="116" spans="1:20" ht="30.65" customHeight="1">
      <c r="A116" s="1275"/>
      <c r="B116" s="935">
        <f t="shared" si="90"/>
        <v>80</v>
      </c>
      <c r="C116" s="1002" t="s">
        <v>368</v>
      </c>
      <c r="D116" s="1003"/>
      <c r="E116" s="938"/>
      <c r="F116" s="938"/>
      <c r="G116" s="938"/>
      <c r="H116" s="939"/>
      <c r="I116" s="940"/>
      <c r="J116" s="940"/>
      <c r="K116" s="941">
        <f t="shared" si="88"/>
        <v>0</v>
      </c>
      <c r="L116" s="950"/>
      <c r="M116" s="943"/>
      <c r="N116" s="1109"/>
      <c r="O116" s="944"/>
      <c r="P116" s="1013" t="str">
        <f t="shared" si="89"/>
        <v/>
      </c>
      <c r="Q116" s="1284"/>
      <c r="R116" s="1280"/>
      <c r="S116" s="946"/>
      <c r="T116" s="947"/>
    </row>
    <row r="117" spans="1:20" ht="30.65" customHeight="1">
      <c r="A117" s="1275"/>
      <c r="B117" s="935">
        <f t="shared" si="90"/>
        <v>81</v>
      </c>
      <c r="C117" s="1002" t="s">
        <v>369</v>
      </c>
      <c r="D117" s="1014"/>
      <c r="E117" s="938"/>
      <c r="F117" s="938"/>
      <c r="G117" s="938"/>
      <c r="H117" s="939"/>
      <c r="I117" s="940"/>
      <c r="J117" s="940"/>
      <c r="K117" s="941">
        <f t="shared" si="88"/>
        <v>0</v>
      </c>
      <c r="L117" s="952"/>
      <c r="M117" s="943"/>
      <c r="N117" s="1109"/>
      <c r="O117" s="944"/>
      <c r="P117" s="1013" t="str">
        <f t="shared" si="89"/>
        <v/>
      </c>
      <c r="Q117" s="1285"/>
      <c r="R117" s="1280"/>
      <c r="S117" s="946"/>
      <c r="T117" s="947"/>
    </row>
    <row r="118" spans="1:20">
      <c r="A118" s="1276"/>
      <c r="B118" s="953"/>
      <c r="C118" s="954"/>
      <c r="D118" s="955"/>
      <c r="E118" s="955"/>
      <c r="F118" s="955"/>
      <c r="G118" s="955"/>
      <c r="H118" s="954"/>
      <c r="I118" s="956">
        <f t="shared" ref="I118:J118" si="91">SUM(I108:I117)</f>
        <v>0</v>
      </c>
      <c r="J118" s="956">
        <f t="shared" si="91"/>
        <v>0</v>
      </c>
      <c r="K118" s="957">
        <f>SUM(K108:K117)</f>
        <v>0</v>
      </c>
      <c r="L118" s="958"/>
      <c r="M118" s="959"/>
      <c r="N118" s="960">
        <f>SUM(N108:N117)</f>
        <v>0</v>
      </c>
      <c r="O118" s="961">
        <f>SUM(O108:O117)</f>
        <v>0</v>
      </c>
      <c r="P118" s="953" t="str">
        <f>IFERROR(AVERAGE(P108:P117),"")</f>
        <v/>
      </c>
      <c r="Q118" s="953" t="str">
        <f>IFERROR(AVERAGE(P108:P117),"")</f>
        <v/>
      </c>
      <c r="R118" s="1280"/>
      <c r="S118" s="962">
        <f>SUM(S108:S117)</f>
        <v>0</v>
      </c>
      <c r="T118" s="963">
        <f>SUM(T108:T117)</f>
        <v>4982.95</v>
      </c>
    </row>
    <row r="119" spans="1:20" ht="30.65" customHeight="1">
      <c r="A119" s="979" t="s">
        <v>370</v>
      </c>
      <c r="B119" s="980"/>
      <c r="C119" s="980"/>
      <c r="D119" s="981"/>
      <c r="E119" s="982" t="s">
        <v>248</v>
      </c>
      <c r="F119" s="983" t="s">
        <v>249</v>
      </c>
      <c r="G119" s="983" t="s">
        <v>250</v>
      </c>
      <c r="H119" s="984" t="s">
        <v>251</v>
      </c>
      <c r="I119" s="985">
        <f t="shared" ref="I119:J119" si="92">I127</f>
        <v>0</v>
      </c>
      <c r="J119" s="986">
        <f t="shared" si="92"/>
        <v>0</v>
      </c>
      <c r="K119" s="987">
        <f>K127</f>
        <v>0</v>
      </c>
      <c r="L119" s="988"/>
      <c r="M119" s="989"/>
      <c r="N119" s="990"/>
      <c r="O119" s="991"/>
      <c r="P119" s="988"/>
      <c r="Q119" s="992"/>
      <c r="R119" s="1280"/>
      <c r="S119" s="994">
        <f t="shared" ref="S119:T119" si="93">S127</f>
        <v>0</v>
      </c>
      <c r="T119" s="995">
        <f t="shared" si="93"/>
        <v>1574.99</v>
      </c>
    </row>
    <row r="120" spans="1:20" ht="30.65" customHeight="1">
      <c r="A120" s="1274" t="s">
        <v>371</v>
      </c>
      <c r="B120" s="935">
        <f>B117+1</f>
        <v>82</v>
      </c>
      <c r="C120" s="1002" t="s">
        <v>372</v>
      </c>
      <c r="D120" s="997"/>
      <c r="E120" s="938"/>
      <c r="F120" s="938"/>
      <c r="G120" s="938"/>
      <c r="H120" s="939"/>
      <c r="I120" s="940"/>
      <c r="J120" s="940"/>
      <c r="K120" s="941">
        <f t="shared" ref="K120:K126" si="94">I120+J120</f>
        <v>0</v>
      </c>
      <c r="L120" s="942"/>
      <c r="M120" s="943"/>
      <c r="N120" s="1109"/>
      <c r="O120" s="944"/>
      <c r="P120" s="1013" t="str">
        <f t="shared" ref="P120:P126" si="95">IF(N120,MIN(1,O120/N120),"")</f>
        <v/>
      </c>
      <c r="Q120" s="1283"/>
      <c r="R120" s="1280"/>
      <c r="S120" s="946"/>
      <c r="T120" s="947"/>
    </row>
    <row r="121" spans="1:20" ht="30.65" customHeight="1">
      <c r="A121" s="1282"/>
      <c r="B121" s="935">
        <f>B120+1</f>
        <v>83</v>
      </c>
      <c r="C121" s="1002" t="s">
        <v>373</v>
      </c>
      <c r="D121" s="1003"/>
      <c r="E121" s="938"/>
      <c r="F121" s="938"/>
      <c r="G121" s="938"/>
      <c r="H121" s="939"/>
      <c r="I121" s="940"/>
      <c r="J121" s="940">
        <v>0</v>
      </c>
      <c r="K121" s="941">
        <f t="shared" si="94"/>
        <v>0</v>
      </c>
      <c r="L121" s="950"/>
      <c r="M121" s="943"/>
      <c r="N121" s="1109"/>
      <c r="O121" s="944"/>
      <c r="P121" s="1013" t="str">
        <f t="shared" si="95"/>
        <v/>
      </c>
      <c r="Q121" s="1284"/>
      <c r="R121" s="1280"/>
      <c r="S121" s="946"/>
      <c r="T121" s="947"/>
    </row>
    <row r="122" spans="1:20" ht="30.65" customHeight="1">
      <c r="A122" s="1282"/>
      <c r="B122" s="935">
        <f t="shared" ref="B122:B126" si="96">B121+1</f>
        <v>84</v>
      </c>
      <c r="C122" s="1002" t="s">
        <v>374</v>
      </c>
      <c r="D122" s="1003"/>
      <c r="E122" s="938"/>
      <c r="F122" s="938"/>
      <c r="G122" s="938"/>
      <c r="H122" s="939"/>
      <c r="I122" s="940"/>
      <c r="J122" s="940">
        <v>0</v>
      </c>
      <c r="K122" s="941">
        <f t="shared" si="94"/>
        <v>0</v>
      </c>
      <c r="L122" s="950"/>
      <c r="M122" s="943"/>
      <c r="N122" s="1109"/>
      <c r="O122" s="944"/>
      <c r="P122" s="1013" t="str">
        <f t="shared" si="95"/>
        <v/>
      </c>
      <c r="Q122" s="1284"/>
      <c r="R122" s="1280"/>
      <c r="S122" s="946"/>
      <c r="T122" s="947"/>
    </row>
    <row r="123" spans="1:20" ht="30.65" customHeight="1">
      <c r="A123" s="1282"/>
      <c r="B123" s="935">
        <f t="shared" si="96"/>
        <v>85</v>
      </c>
      <c r="C123" s="1002" t="s">
        <v>375</v>
      </c>
      <c r="D123" s="1003"/>
      <c r="E123" s="938"/>
      <c r="F123" s="938"/>
      <c r="G123" s="938"/>
      <c r="H123" s="939"/>
      <c r="I123" s="940"/>
      <c r="J123" s="940">
        <v>0</v>
      </c>
      <c r="K123" s="941">
        <f t="shared" si="94"/>
        <v>0</v>
      </c>
      <c r="L123" s="950"/>
      <c r="M123" s="943"/>
      <c r="N123" s="1109"/>
      <c r="O123" s="944"/>
      <c r="P123" s="1013" t="str">
        <f t="shared" si="95"/>
        <v/>
      </c>
      <c r="Q123" s="1284"/>
      <c r="R123" s="1280"/>
      <c r="S123" s="946"/>
      <c r="T123" s="947"/>
    </row>
    <row r="124" spans="1:20" ht="30.65" customHeight="1">
      <c r="A124" s="1282"/>
      <c r="B124" s="935">
        <f t="shared" si="96"/>
        <v>86</v>
      </c>
      <c r="C124" s="1002" t="s">
        <v>376</v>
      </c>
      <c r="D124" s="1003"/>
      <c r="E124" s="938"/>
      <c r="F124" s="938"/>
      <c r="G124" s="938"/>
      <c r="H124" s="939"/>
      <c r="I124" s="940"/>
      <c r="J124" s="940">
        <v>0</v>
      </c>
      <c r="K124" s="941">
        <f t="shared" si="94"/>
        <v>0</v>
      </c>
      <c r="L124" s="950"/>
      <c r="M124" s="943"/>
      <c r="N124" s="1109"/>
      <c r="O124" s="944"/>
      <c r="P124" s="1013" t="str">
        <f t="shared" si="95"/>
        <v/>
      </c>
      <c r="Q124" s="1284"/>
      <c r="R124" s="1280"/>
      <c r="S124" s="946"/>
      <c r="T124" s="947"/>
    </row>
    <row r="125" spans="1:20" ht="30.65" customHeight="1">
      <c r="A125" s="1282"/>
      <c r="B125" s="935">
        <f t="shared" si="96"/>
        <v>87</v>
      </c>
      <c r="C125" s="1002" t="s">
        <v>377</v>
      </c>
      <c r="D125" s="1003"/>
      <c r="E125" s="938"/>
      <c r="F125" s="938"/>
      <c r="G125" s="938"/>
      <c r="H125" s="939"/>
      <c r="I125" s="940"/>
      <c r="J125" s="940"/>
      <c r="K125" s="941">
        <f t="shared" si="94"/>
        <v>0</v>
      </c>
      <c r="L125" s="950"/>
      <c r="M125" s="943"/>
      <c r="N125" s="1109"/>
      <c r="O125" s="944"/>
      <c r="P125" s="1013" t="str">
        <f t="shared" si="95"/>
        <v/>
      </c>
      <c r="Q125" s="1284"/>
      <c r="R125" s="1280"/>
      <c r="S125" s="946"/>
      <c r="T125" s="947">
        <v>1574.99</v>
      </c>
    </row>
    <row r="126" spans="1:20" ht="30.65" customHeight="1">
      <c r="A126" s="1282"/>
      <c r="B126" s="935">
        <f t="shared" si="96"/>
        <v>88</v>
      </c>
      <c r="C126" s="1002" t="s">
        <v>378</v>
      </c>
      <c r="D126" s="1003"/>
      <c r="E126" s="938"/>
      <c r="F126" s="938"/>
      <c r="G126" s="938"/>
      <c r="H126" s="939"/>
      <c r="I126" s="940"/>
      <c r="J126" s="940">
        <v>0</v>
      </c>
      <c r="K126" s="941">
        <f t="shared" si="94"/>
        <v>0</v>
      </c>
      <c r="L126" s="950"/>
      <c r="M126" s="943"/>
      <c r="N126" s="1109"/>
      <c r="O126" s="944"/>
      <c r="P126" s="1013" t="str">
        <f t="shared" si="95"/>
        <v/>
      </c>
      <c r="Q126" s="1285"/>
      <c r="R126" s="1281"/>
      <c r="S126" s="946"/>
      <c r="T126" s="947"/>
    </row>
    <row r="127" spans="1:20">
      <c r="A127" s="1276"/>
      <c r="B127" s="953"/>
      <c r="C127" s="954"/>
      <c r="D127" s="955"/>
      <c r="E127" s="955"/>
      <c r="F127" s="955"/>
      <c r="G127" s="955"/>
      <c r="H127" s="954"/>
      <c r="I127" s="956">
        <f>SUM(I120:I126)</f>
        <v>0</v>
      </c>
      <c r="J127" s="956">
        <f>SUM(J120:J126)</f>
        <v>0</v>
      </c>
      <c r="K127" s="957">
        <f>SUM(K120:K126)</f>
        <v>0</v>
      </c>
      <c r="L127" s="958"/>
      <c r="M127" s="959"/>
      <c r="N127" s="960">
        <f>SUM(N120:N126)</f>
        <v>0</v>
      </c>
      <c r="O127" s="961">
        <f>SUM(O120:O126)</f>
        <v>0</v>
      </c>
      <c r="P127" s="953" t="str">
        <f>IFERROR(AVERAGE(P120:P126),"")</f>
        <v/>
      </c>
      <c r="Q127" s="953" t="str">
        <f>IFERROR(AVERAGE(P120:P126),"")</f>
        <v/>
      </c>
      <c r="R127" s="953" t="str">
        <f>IFERROR(AVERAGE(P97:P99,P101:P105,P108:P117,P120:P126),"")</f>
        <v/>
      </c>
      <c r="S127" s="962">
        <f>SUM(S120:S126)</f>
        <v>0</v>
      </c>
      <c r="T127" s="963">
        <f>SUM(T120:T126)</f>
        <v>1574.99</v>
      </c>
    </row>
    <row r="128" spans="1:20" ht="36.75" customHeight="1">
      <c r="A128" s="1015" t="s">
        <v>379</v>
      </c>
      <c r="B128" s="1015"/>
      <c r="C128" s="1016"/>
      <c r="D128" s="1016"/>
      <c r="E128" s="1017"/>
      <c r="F128" s="1017"/>
      <c r="G128" s="1017"/>
      <c r="H128" s="1018"/>
      <c r="I128" s="1017"/>
      <c r="J128" s="1017"/>
      <c r="K128" s="1019">
        <f>K129+K143+K163</f>
        <v>0</v>
      </c>
      <c r="L128" s="1020"/>
      <c r="M128" s="1021"/>
      <c r="N128" s="1022"/>
      <c r="O128" s="1023"/>
      <c r="P128" s="1024"/>
      <c r="Q128" s="1024"/>
      <c r="R128" s="1025"/>
      <c r="S128" s="1026">
        <f>S129+S143+S163</f>
        <v>0</v>
      </c>
      <c r="T128" s="1027">
        <f>T129+T143+T163</f>
        <v>0</v>
      </c>
    </row>
    <row r="129" spans="1:20" ht="30.65" customHeight="1">
      <c r="A129" s="1028" t="s">
        <v>380</v>
      </c>
      <c r="B129" s="1029"/>
      <c r="C129" s="1029"/>
      <c r="D129" s="1030"/>
      <c r="E129" s="1031" t="s">
        <v>248</v>
      </c>
      <c r="F129" s="1032" t="s">
        <v>249</v>
      </c>
      <c r="G129" s="1032" t="s">
        <v>250</v>
      </c>
      <c r="H129" s="1033" t="s">
        <v>251</v>
      </c>
      <c r="I129" s="1034">
        <f t="shared" ref="I129:J129" si="97">I142</f>
        <v>0</v>
      </c>
      <c r="J129" s="1035">
        <f t="shared" si="97"/>
        <v>0</v>
      </c>
      <c r="K129" s="1036">
        <f>K142</f>
        <v>0</v>
      </c>
      <c r="L129" s="1037"/>
      <c r="M129" s="1038"/>
      <c r="N129" s="1039"/>
      <c r="O129" s="1040"/>
      <c r="P129" s="1037"/>
      <c r="Q129" s="1041"/>
      <c r="R129" s="1042"/>
      <c r="S129" s="1043">
        <f t="shared" ref="S129:T129" si="98">S142</f>
        <v>0</v>
      </c>
      <c r="T129" s="1044">
        <f t="shared" si="98"/>
        <v>0</v>
      </c>
    </row>
    <row r="130" spans="1:20" ht="30.65" customHeight="1">
      <c r="A130" s="1286" t="s">
        <v>381</v>
      </c>
      <c r="B130" s="935" t="s">
        <v>382</v>
      </c>
      <c r="C130" s="1045" t="s">
        <v>383</v>
      </c>
      <c r="D130" s="1046" t="s">
        <v>78</v>
      </c>
      <c r="E130" s="1047"/>
      <c r="F130" s="1047"/>
      <c r="G130" s="1047"/>
      <c r="H130" s="1048"/>
      <c r="I130" s="940"/>
      <c r="J130" s="940"/>
      <c r="K130" s="941">
        <f t="shared" ref="K130:K141" si="99">I130+J130</f>
        <v>0</v>
      </c>
      <c r="L130" s="942"/>
      <c r="M130" s="1111"/>
      <c r="N130" s="1112"/>
      <c r="O130" s="944"/>
      <c r="P130" s="1049"/>
      <c r="Q130" s="1049"/>
      <c r="R130" s="1049"/>
      <c r="S130" s="1050"/>
      <c r="T130" s="1113"/>
    </row>
    <row r="131" spans="1:20" ht="30.65" customHeight="1">
      <c r="A131" s="1287"/>
      <c r="B131" s="935" t="s">
        <v>382</v>
      </c>
      <c r="C131" s="1045" t="s">
        <v>384</v>
      </c>
      <c r="D131" s="1046" t="s">
        <v>78</v>
      </c>
      <c r="E131" s="1047"/>
      <c r="F131" s="1047"/>
      <c r="G131" s="1047"/>
      <c r="H131" s="1048"/>
      <c r="I131" s="940"/>
      <c r="J131" s="940"/>
      <c r="K131" s="941">
        <f t="shared" si="99"/>
        <v>0</v>
      </c>
      <c r="L131" s="950"/>
      <c r="M131" s="1111"/>
      <c r="N131" s="1112"/>
      <c r="O131" s="944"/>
      <c r="P131" s="1049"/>
      <c r="Q131" s="1049"/>
      <c r="R131" s="1049"/>
      <c r="S131" s="1050"/>
      <c r="T131" s="1113"/>
    </row>
    <row r="132" spans="1:20" ht="30.65" customHeight="1">
      <c r="A132" s="1287"/>
      <c r="B132" s="935" t="s">
        <v>382</v>
      </c>
      <c r="C132" s="1045" t="s">
        <v>385</v>
      </c>
      <c r="D132" s="1046"/>
      <c r="E132" s="1047"/>
      <c r="F132" s="1047"/>
      <c r="G132" s="1047"/>
      <c r="H132" s="1048"/>
      <c r="I132" s="940"/>
      <c r="J132" s="940"/>
      <c r="K132" s="941">
        <f t="shared" si="99"/>
        <v>0</v>
      </c>
      <c r="L132" s="950"/>
      <c r="M132" s="1111"/>
      <c r="N132" s="1112"/>
      <c r="O132" s="944"/>
      <c r="P132" s="1049"/>
      <c r="Q132" s="1049"/>
      <c r="R132" s="1049"/>
      <c r="S132" s="1050"/>
      <c r="T132" s="1113"/>
    </row>
    <row r="133" spans="1:20" ht="30.65" customHeight="1">
      <c r="A133" s="1287"/>
      <c r="B133" s="935" t="s">
        <v>382</v>
      </c>
      <c r="C133" s="1045" t="s">
        <v>386</v>
      </c>
      <c r="D133" s="1046"/>
      <c r="E133" s="1047"/>
      <c r="F133" s="1047"/>
      <c r="G133" s="1047"/>
      <c r="H133" s="1048"/>
      <c r="I133" s="940"/>
      <c r="J133" s="940"/>
      <c r="K133" s="941">
        <f t="shared" si="99"/>
        <v>0</v>
      </c>
      <c r="L133" s="950"/>
      <c r="M133" s="1111"/>
      <c r="N133" s="1112"/>
      <c r="O133" s="944"/>
      <c r="P133" s="1049"/>
      <c r="Q133" s="1049"/>
      <c r="R133" s="1049"/>
      <c r="S133" s="1050"/>
      <c r="T133" s="1113"/>
    </row>
    <row r="134" spans="1:20" ht="30.65" customHeight="1">
      <c r="A134" s="1287"/>
      <c r="B134" s="935" t="s">
        <v>382</v>
      </c>
      <c r="C134" s="1045" t="s">
        <v>387</v>
      </c>
      <c r="D134" s="1046"/>
      <c r="E134" s="1047"/>
      <c r="F134" s="1047"/>
      <c r="G134" s="1047"/>
      <c r="H134" s="1048"/>
      <c r="I134" s="940"/>
      <c r="J134" s="940"/>
      <c r="K134" s="941">
        <f t="shared" si="99"/>
        <v>0</v>
      </c>
      <c r="L134" s="950"/>
      <c r="M134" s="1111"/>
      <c r="N134" s="1112"/>
      <c r="O134" s="944"/>
      <c r="P134" s="1049"/>
      <c r="Q134" s="1049"/>
      <c r="R134" s="1049"/>
      <c r="S134" s="1050"/>
      <c r="T134" s="1113"/>
    </row>
    <row r="135" spans="1:20" ht="30.65" customHeight="1">
      <c r="A135" s="1287"/>
      <c r="B135" s="935" t="s">
        <v>382</v>
      </c>
      <c r="C135" s="1045" t="s">
        <v>388</v>
      </c>
      <c r="D135" s="1046"/>
      <c r="E135" s="1047"/>
      <c r="F135" s="1047"/>
      <c r="G135" s="1047"/>
      <c r="H135" s="1048"/>
      <c r="I135" s="940"/>
      <c r="J135" s="940"/>
      <c r="K135" s="941">
        <f t="shared" si="99"/>
        <v>0</v>
      </c>
      <c r="L135" s="950"/>
      <c r="M135" s="1111"/>
      <c r="N135" s="1112"/>
      <c r="O135" s="944"/>
      <c r="P135" s="1049"/>
      <c r="Q135" s="1049"/>
      <c r="R135" s="1049"/>
      <c r="S135" s="1050"/>
      <c r="T135" s="1113"/>
    </row>
    <row r="136" spans="1:20" ht="30.65" customHeight="1">
      <c r="A136" s="1287"/>
      <c r="B136" s="935" t="s">
        <v>382</v>
      </c>
      <c r="C136" s="1045" t="s">
        <v>389</v>
      </c>
      <c r="D136" s="1046"/>
      <c r="E136" s="1047"/>
      <c r="F136" s="1047"/>
      <c r="G136" s="1047"/>
      <c r="H136" s="1048"/>
      <c r="I136" s="940"/>
      <c r="J136" s="940"/>
      <c r="K136" s="941">
        <f t="shared" si="99"/>
        <v>0</v>
      </c>
      <c r="L136" s="950"/>
      <c r="M136" s="1111"/>
      <c r="N136" s="1112"/>
      <c r="O136" s="944"/>
      <c r="P136" s="1049"/>
      <c r="Q136" s="1049"/>
      <c r="R136" s="1049"/>
      <c r="S136" s="1050"/>
      <c r="T136" s="1113"/>
    </row>
    <row r="137" spans="1:20" ht="30.65" customHeight="1">
      <c r="A137" s="1287"/>
      <c r="B137" s="935" t="s">
        <v>382</v>
      </c>
      <c r="C137" s="1045" t="s">
        <v>390</v>
      </c>
      <c r="D137" s="1046"/>
      <c r="E137" s="1047"/>
      <c r="F137" s="1047"/>
      <c r="G137" s="1047"/>
      <c r="H137" s="1048"/>
      <c r="I137" s="940"/>
      <c r="J137" s="940"/>
      <c r="K137" s="941">
        <f t="shared" si="99"/>
        <v>0</v>
      </c>
      <c r="L137" s="950"/>
      <c r="M137" s="1111"/>
      <c r="N137" s="1112"/>
      <c r="O137" s="944"/>
      <c r="P137" s="1049"/>
      <c r="Q137" s="1049"/>
      <c r="R137" s="1049"/>
      <c r="S137" s="1050"/>
      <c r="T137" s="1113"/>
    </row>
    <row r="138" spans="1:20" ht="30.65" customHeight="1">
      <c r="A138" s="1287"/>
      <c r="B138" s="935" t="s">
        <v>382</v>
      </c>
      <c r="C138" s="1045" t="s">
        <v>391</v>
      </c>
      <c r="D138" s="1046"/>
      <c r="E138" s="1047"/>
      <c r="F138" s="1047"/>
      <c r="G138" s="1047"/>
      <c r="H138" s="1048"/>
      <c r="I138" s="940"/>
      <c r="J138" s="940"/>
      <c r="K138" s="941">
        <f t="shared" si="99"/>
        <v>0</v>
      </c>
      <c r="L138" s="950"/>
      <c r="M138" s="1111"/>
      <c r="N138" s="1112"/>
      <c r="O138" s="944"/>
      <c r="P138" s="1049"/>
      <c r="Q138" s="1049"/>
      <c r="R138" s="1049"/>
      <c r="S138" s="1050"/>
      <c r="T138" s="1113"/>
    </row>
    <row r="139" spans="1:20" ht="30.65" customHeight="1">
      <c r="A139" s="1287"/>
      <c r="B139" s="935" t="s">
        <v>382</v>
      </c>
      <c r="C139" s="1045" t="s">
        <v>392</v>
      </c>
      <c r="D139" s="1046" t="s">
        <v>78</v>
      </c>
      <c r="E139" s="1047"/>
      <c r="F139" s="1047"/>
      <c r="G139" s="1047"/>
      <c r="H139" s="1048"/>
      <c r="I139" s="940"/>
      <c r="J139" s="940"/>
      <c r="K139" s="941">
        <f t="shared" si="99"/>
        <v>0</v>
      </c>
      <c r="L139" s="950"/>
      <c r="M139" s="1111"/>
      <c r="N139" s="1112"/>
      <c r="O139" s="944"/>
      <c r="P139" s="1049"/>
      <c r="Q139" s="1049"/>
      <c r="R139" s="1049"/>
      <c r="S139" s="1050"/>
      <c r="T139" s="1113"/>
    </row>
    <row r="140" spans="1:20" ht="30.65" customHeight="1">
      <c r="A140" s="1287"/>
      <c r="B140" s="935" t="s">
        <v>382</v>
      </c>
      <c r="C140" s="1045" t="s">
        <v>393</v>
      </c>
      <c r="D140" s="1046" t="s">
        <v>78</v>
      </c>
      <c r="E140" s="1047"/>
      <c r="F140" s="1047"/>
      <c r="G140" s="1047"/>
      <c r="H140" s="1048"/>
      <c r="I140" s="940"/>
      <c r="J140" s="940"/>
      <c r="K140" s="941">
        <f t="shared" si="99"/>
        <v>0</v>
      </c>
      <c r="L140" s="950"/>
      <c r="M140" s="1111"/>
      <c r="N140" s="1112"/>
      <c r="O140" s="944"/>
      <c r="P140" s="1049"/>
      <c r="Q140" s="1049"/>
      <c r="R140" s="1049"/>
      <c r="S140" s="1050"/>
      <c r="T140" s="1113"/>
    </row>
    <row r="141" spans="1:20" ht="30.65" customHeight="1">
      <c r="A141" s="1287"/>
      <c r="B141" s="935" t="s">
        <v>382</v>
      </c>
      <c r="C141" s="1051" t="s">
        <v>394</v>
      </c>
      <c r="D141" s="1046" t="s">
        <v>78</v>
      </c>
      <c r="E141" s="1047"/>
      <c r="F141" s="1047"/>
      <c r="G141" s="1047"/>
      <c r="H141" s="1048"/>
      <c r="I141" s="940"/>
      <c r="J141" s="940"/>
      <c r="K141" s="941">
        <f t="shared" si="99"/>
        <v>0</v>
      </c>
      <c r="L141" s="950"/>
      <c r="M141" s="1111"/>
      <c r="N141" s="1112"/>
      <c r="O141" s="944"/>
      <c r="P141" s="1049"/>
      <c r="Q141" s="1049"/>
      <c r="R141" s="1049"/>
      <c r="S141" s="1050"/>
      <c r="T141" s="1113"/>
    </row>
    <row r="142" spans="1:20">
      <c r="A142" s="1288"/>
      <c r="B142" s="953"/>
      <c r="C142" s="954"/>
      <c r="D142" s="955"/>
      <c r="E142" s="955"/>
      <c r="F142" s="955"/>
      <c r="G142" s="955"/>
      <c r="H142" s="954"/>
      <c r="I142" s="956">
        <f t="shared" ref="I142:J142" si="100">SUM(I130:I141)</f>
        <v>0</v>
      </c>
      <c r="J142" s="956">
        <f t="shared" si="100"/>
        <v>0</v>
      </c>
      <c r="K142" s="957">
        <f>SUM(K130:K141)</f>
        <v>0</v>
      </c>
      <c r="L142" s="958"/>
      <c r="M142" s="959"/>
      <c r="N142" s="960">
        <f>SUM(N130:N141)</f>
        <v>0</v>
      </c>
      <c r="O142" s="1052">
        <f>SUM(O130:O141)</f>
        <v>0</v>
      </c>
      <c r="P142" s="1052"/>
      <c r="Q142" s="964"/>
      <c r="R142" s="1053"/>
      <c r="S142" s="962">
        <f>SUM(S130:S141)</f>
        <v>0</v>
      </c>
      <c r="T142" s="963">
        <f>SUM(T130:T141)</f>
        <v>0</v>
      </c>
    </row>
    <row r="143" spans="1:20" ht="30.65" customHeight="1">
      <c r="A143" s="1054"/>
      <c r="B143" s="1114"/>
      <c r="C143" s="1055" t="s">
        <v>395</v>
      </c>
      <c r="D143" s="1056"/>
      <c r="E143" s="1056"/>
      <c r="F143" s="1056"/>
      <c r="G143" s="1057"/>
      <c r="H143" s="1058"/>
      <c r="I143" s="1034">
        <f t="shared" ref="I143:J143" si="101">I162</f>
        <v>0</v>
      </c>
      <c r="J143" s="1035">
        <f t="shared" si="101"/>
        <v>0</v>
      </c>
      <c r="K143" s="1036">
        <f>K162</f>
        <v>0</v>
      </c>
      <c r="L143" s="1059"/>
      <c r="M143" s="1060"/>
      <c r="N143" s="1061"/>
      <c r="O143" s="1062"/>
      <c r="P143" s="1063"/>
      <c r="Q143" s="1041"/>
      <c r="R143" s="1042"/>
      <c r="S143" s="1043">
        <f t="shared" ref="S143:T143" si="102">S162</f>
        <v>0</v>
      </c>
      <c r="T143" s="1036">
        <f t="shared" si="102"/>
        <v>0</v>
      </c>
    </row>
    <row r="144" spans="1:20" ht="30.65" customHeight="1">
      <c r="A144" s="1064"/>
      <c r="B144" s="935" t="s">
        <v>396</v>
      </c>
      <c r="C144" s="1045" t="s">
        <v>397</v>
      </c>
      <c r="D144" s="1046" t="s">
        <v>78</v>
      </c>
      <c r="E144" s="1047"/>
      <c r="F144" s="1047"/>
      <c r="G144" s="1047"/>
      <c r="H144" s="1048"/>
      <c r="I144" s="940"/>
      <c r="J144" s="940"/>
      <c r="K144" s="941">
        <f t="shared" ref="K144:K161" si="103">I144+J144</f>
        <v>0</v>
      </c>
      <c r="L144" s="942"/>
      <c r="M144" s="1115" t="s">
        <v>398</v>
      </c>
      <c r="N144" s="1112"/>
      <c r="O144" s="944"/>
      <c r="P144" s="1049"/>
      <c r="Q144" s="1049"/>
      <c r="R144" s="1049"/>
      <c r="S144" s="1050"/>
      <c r="T144" s="1113"/>
    </row>
    <row r="145" spans="1:20" ht="30.65" customHeight="1">
      <c r="A145" s="1064"/>
      <c r="B145" s="935" t="s">
        <v>396</v>
      </c>
      <c r="C145" s="1045" t="s">
        <v>399</v>
      </c>
      <c r="D145" s="1046" t="s">
        <v>78</v>
      </c>
      <c r="E145" s="1047"/>
      <c r="F145" s="1047"/>
      <c r="G145" s="1047"/>
      <c r="H145" s="1048"/>
      <c r="I145" s="940"/>
      <c r="J145" s="940"/>
      <c r="K145" s="941">
        <f t="shared" si="103"/>
        <v>0</v>
      </c>
      <c r="L145" s="950"/>
      <c r="M145" s="1115" t="s">
        <v>398</v>
      </c>
      <c r="N145" s="1112"/>
      <c r="O145" s="944"/>
      <c r="P145" s="1049"/>
      <c r="Q145" s="1049"/>
      <c r="R145" s="1049"/>
      <c r="S145" s="1050"/>
      <c r="T145" s="1113"/>
    </row>
    <row r="146" spans="1:20" ht="30.65" customHeight="1">
      <c r="A146" s="1064"/>
      <c r="B146" s="935" t="s">
        <v>396</v>
      </c>
      <c r="C146" s="1045" t="s">
        <v>400</v>
      </c>
      <c r="D146" s="1046"/>
      <c r="E146" s="1047"/>
      <c r="F146" s="1047"/>
      <c r="G146" s="1047"/>
      <c r="H146" s="1048"/>
      <c r="I146" s="940"/>
      <c r="J146" s="940"/>
      <c r="K146" s="941">
        <f t="shared" si="103"/>
        <v>0</v>
      </c>
      <c r="L146" s="950"/>
      <c r="M146" s="1115" t="s">
        <v>398</v>
      </c>
      <c r="N146" s="1112"/>
      <c r="O146" s="944"/>
      <c r="P146" s="1049"/>
      <c r="Q146" s="1049"/>
      <c r="R146" s="1049"/>
      <c r="S146" s="1050"/>
      <c r="T146" s="1113"/>
    </row>
    <row r="147" spans="1:20" ht="30.65" customHeight="1">
      <c r="A147" s="1064"/>
      <c r="B147" s="935" t="s">
        <v>396</v>
      </c>
      <c r="C147" s="1045" t="s">
        <v>401</v>
      </c>
      <c r="D147" s="1046"/>
      <c r="E147" s="1047"/>
      <c r="F147" s="1047"/>
      <c r="G147" s="1047"/>
      <c r="H147" s="1048"/>
      <c r="I147" s="940"/>
      <c r="J147" s="940"/>
      <c r="K147" s="941">
        <f t="shared" si="103"/>
        <v>0</v>
      </c>
      <c r="L147" s="950"/>
      <c r="M147" s="1115" t="s">
        <v>398</v>
      </c>
      <c r="N147" s="1112"/>
      <c r="O147" s="944"/>
      <c r="P147" s="1049"/>
      <c r="Q147" s="1049"/>
      <c r="R147" s="1049"/>
      <c r="S147" s="1050"/>
      <c r="T147" s="1113"/>
    </row>
    <row r="148" spans="1:20" ht="30.65" customHeight="1">
      <c r="A148" s="1064"/>
      <c r="B148" s="935" t="s">
        <v>396</v>
      </c>
      <c r="C148" s="1045" t="s">
        <v>402</v>
      </c>
      <c r="D148" s="1046"/>
      <c r="E148" s="1047"/>
      <c r="F148" s="1047"/>
      <c r="G148" s="1047"/>
      <c r="H148" s="1048"/>
      <c r="I148" s="940"/>
      <c r="J148" s="940"/>
      <c r="K148" s="941">
        <f t="shared" si="103"/>
        <v>0</v>
      </c>
      <c r="L148" s="950"/>
      <c r="M148" s="1115" t="s">
        <v>398</v>
      </c>
      <c r="N148" s="1112"/>
      <c r="O148" s="944"/>
      <c r="P148" s="1049"/>
      <c r="Q148" s="1049"/>
      <c r="R148" s="1049"/>
      <c r="S148" s="1050"/>
      <c r="T148" s="1113"/>
    </row>
    <row r="149" spans="1:20" ht="30.65" customHeight="1">
      <c r="A149" s="1064"/>
      <c r="B149" s="935" t="s">
        <v>396</v>
      </c>
      <c r="C149" s="1045" t="s">
        <v>403</v>
      </c>
      <c r="D149" s="1046"/>
      <c r="E149" s="1047"/>
      <c r="F149" s="1047"/>
      <c r="G149" s="1047"/>
      <c r="H149" s="1048"/>
      <c r="I149" s="940"/>
      <c r="J149" s="940"/>
      <c r="K149" s="941">
        <f t="shared" si="103"/>
        <v>0</v>
      </c>
      <c r="L149" s="950"/>
      <c r="M149" s="1115" t="s">
        <v>398</v>
      </c>
      <c r="N149" s="1112"/>
      <c r="O149" s="944"/>
      <c r="P149" s="1049"/>
      <c r="Q149" s="1049"/>
      <c r="R149" s="1049"/>
      <c r="S149" s="1050"/>
      <c r="T149" s="1113"/>
    </row>
    <row r="150" spans="1:20" ht="30.65" customHeight="1">
      <c r="A150" s="1064"/>
      <c r="B150" s="935" t="s">
        <v>396</v>
      </c>
      <c r="C150" s="1045" t="s">
        <v>404</v>
      </c>
      <c r="D150" s="1046"/>
      <c r="E150" s="1047"/>
      <c r="F150" s="1047"/>
      <c r="G150" s="1047"/>
      <c r="H150" s="1048"/>
      <c r="I150" s="940"/>
      <c r="J150" s="940"/>
      <c r="K150" s="941">
        <f t="shared" si="103"/>
        <v>0</v>
      </c>
      <c r="L150" s="950"/>
      <c r="M150" s="1115" t="s">
        <v>398</v>
      </c>
      <c r="N150" s="1112"/>
      <c r="O150" s="944"/>
      <c r="P150" s="1049"/>
      <c r="Q150" s="1049"/>
      <c r="R150" s="1049"/>
      <c r="S150" s="1050"/>
      <c r="T150" s="1113"/>
    </row>
    <row r="151" spans="1:20" ht="30.65" customHeight="1">
      <c r="A151" s="1064"/>
      <c r="B151" s="935" t="s">
        <v>396</v>
      </c>
      <c r="C151" s="1045" t="s">
        <v>405</v>
      </c>
      <c r="D151" s="1046"/>
      <c r="E151" s="1047"/>
      <c r="F151" s="1047"/>
      <c r="G151" s="1047"/>
      <c r="H151" s="1048"/>
      <c r="I151" s="940"/>
      <c r="J151" s="940"/>
      <c r="K151" s="941">
        <f t="shared" si="103"/>
        <v>0</v>
      </c>
      <c r="L151" s="950"/>
      <c r="M151" s="1115" t="s">
        <v>398</v>
      </c>
      <c r="N151" s="1112"/>
      <c r="O151" s="944"/>
      <c r="P151" s="1049"/>
      <c r="Q151" s="1049"/>
      <c r="R151" s="1049"/>
      <c r="S151" s="1050"/>
      <c r="T151" s="1113"/>
    </row>
    <row r="152" spans="1:20" ht="30.65" customHeight="1">
      <c r="A152" s="1064"/>
      <c r="B152" s="935" t="s">
        <v>396</v>
      </c>
      <c r="C152" s="1045" t="s">
        <v>406</v>
      </c>
      <c r="D152" s="1046"/>
      <c r="E152" s="1047"/>
      <c r="F152" s="1047"/>
      <c r="G152" s="1047"/>
      <c r="H152" s="1048"/>
      <c r="I152" s="940"/>
      <c r="J152" s="940"/>
      <c r="K152" s="941">
        <f t="shared" si="103"/>
        <v>0</v>
      </c>
      <c r="L152" s="950"/>
      <c r="M152" s="1115" t="s">
        <v>398</v>
      </c>
      <c r="N152" s="1112"/>
      <c r="O152" s="944"/>
      <c r="P152" s="1049"/>
      <c r="Q152" s="1049"/>
      <c r="R152" s="1049"/>
      <c r="S152" s="1050"/>
      <c r="T152" s="1113"/>
    </row>
    <row r="153" spans="1:20" ht="30.65" customHeight="1">
      <c r="A153" s="1064"/>
      <c r="B153" s="935" t="s">
        <v>396</v>
      </c>
      <c r="C153" s="1045" t="s">
        <v>407</v>
      </c>
      <c r="D153" s="1046"/>
      <c r="E153" s="1047"/>
      <c r="F153" s="1047"/>
      <c r="G153" s="1047"/>
      <c r="H153" s="1048"/>
      <c r="I153" s="940"/>
      <c r="J153" s="940"/>
      <c r="K153" s="941">
        <f t="shared" si="103"/>
        <v>0</v>
      </c>
      <c r="L153" s="950"/>
      <c r="M153" s="1115" t="s">
        <v>398</v>
      </c>
      <c r="N153" s="1112"/>
      <c r="O153" s="944"/>
      <c r="P153" s="1049"/>
      <c r="Q153" s="1049"/>
      <c r="R153" s="1049"/>
      <c r="S153" s="1050"/>
      <c r="T153" s="1113"/>
    </row>
    <row r="154" spans="1:20" ht="30.65" customHeight="1">
      <c r="A154" s="1064"/>
      <c r="B154" s="935" t="s">
        <v>396</v>
      </c>
      <c r="C154" s="1045" t="s">
        <v>408</v>
      </c>
      <c r="D154" s="1046"/>
      <c r="E154" s="1047"/>
      <c r="F154" s="1047"/>
      <c r="G154" s="1047"/>
      <c r="H154" s="1048"/>
      <c r="I154" s="940"/>
      <c r="J154" s="940"/>
      <c r="K154" s="941">
        <f t="shared" si="103"/>
        <v>0</v>
      </c>
      <c r="L154" s="950"/>
      <c r="M154" s="1115" t="s">
        <v>409</v>
      </c>
      <c r="N154" s="1112"/>
      <c r="O154" s="944"/>
      <c r="P154" s="1049"/>
      <c r="Q154" s="1049"/>
      <c r="R154" s="1049"/>
      <c r="S154" s="1050"/>
      <c r="T154" s="1113"/>
    </row>
    <row r="155" spans="1:20" ht="30.65" customHeight="1">
      <c r="A155" s="1064"/>
      <c r="B155" s="935" t="s">
        <v>396</v>
      </c>
      <c r="C155" s="1045" t="s">
        <v>410</v>
      </c>
      <c r="D155" s="1046"/>
      <c r="E155" s="1047"/>
      <c r="F155" s="1047"/>
      <c r="G155" s="1047"/>
      <c r="H155" s="1048"/>
      <c r="I155" s="940"/>
      <c r="J155" s="940"/>
      <c r="K155" s="941">
        <f t="shared" si="103"/>
        <v>0</v>
      </c>
      <c r="L155" s="950"/>
      <c r="M155" s="1115" t="s">
        <v>409</v>
      </c>
      <c r="N155" s="1112"/>
      <c r="O155" s="944"/>
      <c r="P155" s="1049"/>
      <c r="Q155" s="1049"/>
      <c r="R155" s="1049"/>
      <c r="S155" s="1050"/>
      <c r="T155" s="1113"/>
    </row>
    <row r="156" spans="1:20" ht="30.65" customHeight="1">
      <c r="A156" s="1064"/>
      <c r="B156" s="935" t="s">
        <v>396</v>
      </c>
      <c r="C156" s="1045" t="s">
        <v>411</v>
      </c>
      <c r="D156" s="1046"/>
      <c r="E156" s="1047"/>
      <c r="F156" s="1047"/>
      <c r="G156" s="1047"/>
      <c r="H156" s="1048"/>
      <c r="I156" s="940"/>
      <c r="J156" s="940"/>
      <c r="K156" s="941">
        <f t="shared" si="103"/>
        <v>0</v>
      </c>
      <c r="L156" s="950"/>
      <c r="M156" s="1115" t="s">
        <v>412</v>
      </c>
      <c r="N156" s="1112"/>
      <c r="O156" s="944"/>
      <c r="P156" s="1049"/>
      <c r="Q156" s="1049"/>
      <c r="R156" s="1049"/>
      <c r="S156" s="1050"/>
      <c r="T156" s="1113"/>
    </row>
    <row r="157" spans="1:20" ht="30.65" customHeight="1">
      <c r="A157" s="1064"/>
      <c r="B157" s="935" t="s">
        <v>396</v>
      </c>
      <c r="C157" s="1045" t="s">
        <v>413</v>
      </c>
      <c r="D157" s="1046"/>
      <c r="E157" s="1047"/>
      <c r="F157" s="1047"/>
      <c r="G157" s="1047"/>
      <c r="H157" s="1048"/>
      <c r="I157" s="940"/>
      <c r="J157" s="940"/>
      <c r="K157" s="941">
        <f t="shared" si="103"/>
        <v>0</v>
      </c>
      <c r="L157" s="950"/>
      <c r="M157" s="1115" t="s">
        <v>414</v>
      </c>
      <c r="N157" s="1112"/>
      <c r="O157" s="944"/>
      <c r="P157" s="1049"/>
      <c r="Q157" s="1049"/>
      <c r="R157" s="1049"/>
      <c r="S157" s="1050"/>
      <c r="T157" s="1113"/>
    </row>
    <row r="158" spans="1:20" ht="30.65" customHeight="1">
      <c r="A158" s="1064"/>
      <c r="B158" s="935" t="s">
        <v>396</v>
      </c>
      <c r="C158" s="1045" t="s">
        <v>415</v>
      </c>
      <c r="D158" s="1046"/>
      <c r="E158" s="1047"/>
      <c r="F158" s="1047"/>
      <c r="G158" s="1047"/>
      <c r="H158" s="1048"/>
      <c r="I158" s="940"/>
      <c r="J158" s="940"/>
      <c r="K158" s="941">
        <f t="shared" si="103"/>
        <v>0</v>
      </c>
      <c r="L158" s="950"/>
      <c r="M158" s="1115" t="s">
        <v>414</v>
      </c>
      <c r="N158" s="1112"/>
      <c r="O158" s="944"/>
      <c r="P158" s="1049"/>
      <c r="Q158" s="1049"/>
      <c r="R158" s="1049"/>
      <c r="S158" s="1050"/>
      <c r="T158" s="1113"/>
    </row>
    <row r="159" spans="1:20" ht="30.65" customHeight="1">
      <c r="A159" s="1064"/>
      <c r="B159" s="935" t="s">
        <v>396</v>
      </c>
      <c r="C159" s="1045" t="s">
        <v>416</v>
      </c>
      <c r="D159" s="1046" t="s">
        <v>78</v>
      </c>
      <c r="E159" s="1047"/>
      <c r="F159" s="1047"/>
      <c r="G159" s="1047"/>
      <c r="H159" s="1048"/>
      <c r="I159" s="940"/>
      <c r="J159" s="940"/>
      <c r="K159" s="941">
        <f t="shared" si="103"/>
        <v>0</v>
      </c>
      <c r="L159" s="950"/>
      <c r="M159" s="1115" t="s">
        <v>414</v>
      </c>
      <c r="N159" s="1112"/>
      <c r="O159" s="944"/>
      <c r="P159" s="1049"/>
      <c r="Q159" s="1049"/>
      <c r="R159" s="1049"/>
      <c r="S159" s="1050"/>
      <c r="T159" s="1113"/>
    </row>
    <row r="160" spans="1:20" ht="30.65" customHeight="1">
      <c r="A160" s="1064"/>
      <c r="B160" s="935" t="s">
        <v>396</v>
      </c>
      <c r="C160" s="1045" t="s">
        <v>417</v>
      </c>
      <c r="D160" s="1046" t="s">
        <v>78</v>
      </c>
      <c r="E160" s="1047"/>
      <c r="F160" s="1047"/>
      <c r="G160" s="1047"/>
      <c r="H160" s="1048"/>
      <c r="I160" s="940"/>
      <c r="J160" s="940"/>
      <c r="K160" s="941">
        <f t="shared" si="103"/>
        <v>0</v>
      </c>
      <c r="L160" s="950"/>
      <c r="M160" s="1115" t="s">
        <v>418</v>
      </c>
      <c r="N160" s="1112"/>
      <c r="O160" s="944"/>
      <c r="P160" s="1049"/>
      <c r="Q160" s="1049"/>
      <c r="R160" s="1049"/>
      <c r="S160" s="1050"/>
      <c r="T160" s="1113"/>
    </row>
    <row r="161" spans="1:20" ht="30.65" customHeight="1">
      <c r="A161" s="1064"/>
      <c r="B161" s="935" t="s">
        <v>396</v>
      </c>
      <c r="C161" s="1051" t="s">
        <v>419</v>
      </c>
      <c r="D161" s="1046" t="s">
        <v>78</v>
      </c>
      <c r="E161" s="1047"/>
      <c r="F161" s="1047"/>
      <c r="G161" s="1047"/>
      <c r="H161" s="1048"/>
      <c r="I161" s="940"/>
      <c r="J161" s="940"/>
      <c r="K161" s="941">
        <f t="shared" si="103"/>
        <v>0</v>
      </c>
      <c r="L161" s="950"/>
      <c r="M161" s="1115" t="s">
        <v>409</v>
      </c>
      <c r="N161" s="1112"/>
      <c r="O161" s="944"/>
      <c r="P161" s="1049"/>
      <c r="Q161" s="1049"/>
      <c r="R161" s="1049"/>
      <c r="S161" s="1050"/>
      <c r="T161" s="1113"/>
    </row>
    <row r="162" spans="1:20" ht="18.5">
      <c r="A162" s="1065"/>
      <c r="B162" s="953"/>
      <c r="C162" s="954"/>
      <c r="D162" s="955"/>
      <c r="E162" s="955"/>
      <c r="F162" s="955"/>
      <c r="G162" s="955"/>
      <c r="H162" s="954"/>
      <c r="I162" s="956">
        <f>SUM(I144:I161)</f>
        <v>0</v>
      </c>
      <c r="J162" s="956">
        <f>SUM(J144:J161)</f>
        <v>0</v>
      </c>
      <c r="K162" s="957">
        <f>SUM(K144:K161)</f>
        <v>0</v>
      </c>
      <c r="L162" s="958"/>
      <c r="M162" s="959"/>
      <c r="N162" s="960">
        <f>SUM(N144:N161)</f>
        <v>0</v>
      </c>
      <c r="O162" s="1052"/>
      <c r="P162" s="1052"/>
      <c r="Q162" s="964"/>
      <c r="R162" s="1053"/>
      <c r="S162" s="962">
        <f>SUM(S144:S161)</f>
        <v>0</v>
      </c>
      <c r="T162" s="963">
        <f>SUM(T144:T161)</f>
        <v>0</v>
      </c>
    </row>
    <row r="163" spans="1:20" ht="30.65" customHeight="1">
      <c r="A163" s="1054"/>
      <c r="B163" s="1114"/>
      <c r="C163" s="1055" t="s">
        <v>420</v>
      </c>
      <c r="D163" s="1056"/>
      <c r="E163" s="1056"/>
      <c r="F163" s="1056"/>
      <c r="G163" s="1057"/>
      <c r="H163" s="1058"/>
      <c r="I163" s="1034">
        <f t="shared" ref="I163:J163" si="104">I179</f>
        <v>0</v>
      </c>
      <c r="J163" s="1035">
        <f t="shared" si="104"/>
        <v>0</v>
      </c>
      <c r="K163" s="1036">
        <f>K179</f>
        <v>0</v>
      </c>
      <c r="L163" s="1059"/>
      <c r="M163" s="1060"/>
      <c r="N163" s="1061"/>
      <c r="O163" s="1062"/>
      <c r="P163" s="1063"/>
      <c r="Q163" s="1041"/>
      <c r="R163" s="1042"/>
      <c r="S163" s="1043">
        <f t="shared" ref="S163:T163" si="105">S179</f>
        <v>0</v>
      </c>
      <c r="T163" s="1036">
        <f t="shared" si="105"/>
        <v>0</v>
      </c>
    </row>
    <row r="164" spans="1:20" ht="30.65" customHeight="1">
      <c r="A164" s="1066"/>
      <c r="B164" s="935" t="s">
        <v>421</v>
      </c>
      <c r="C164" s="1045" t="s">
        <v>422</v>
      </c>
      <c r="D164" s="1067" t="s">
        <v>78</v>
      </c>
      <c r="E164" s="1047"/>
      <c r="F164" s="1047"/>
      <c r="G164" s="1047"/>
      <c r="H164" s="1048"/>
      <c r="I164" s="940"/>
      <c r="J164" s="940"/>
      <c r="K164" s="941">
        <f t="shared" ref="K164:K178" si="106">I164+J164</f>
        <v>0</v>
      </c>
      <c r="L164" s="950"/>
      <c r="M164" s="1068"/>
      <c r="N164" s="1112"/>
      <c r="O164" s="944"/>
      <c r="P164" s="1049"/>
      <c r="Q164" s="1049"/>
      <c r="R164" s="1069"/>
      <c r="S164" s="1050"/>
      <c r="T164" s="1113"/>
    </row>
    <row r="165" spans="1:20" ht="30.65" customHeight="1">
      <c r="A165" s="1064"/>
      <c r="B165" s="935" t="s">
        <v>421</v>
      </c>
      <c r="C165" s="1045" t="s">
        <v>423</v>
      </c>
      <c r="D165" s="1067" t="s">
        <v>78</v>
      </c>
      <c r="E165" s="1047"/>
      <c r="F165" s="1047"/>
      <c r="G165" s="1047"/>
      <c r="H165" s="1048"/>
      <c r="I165" s="940"/>
      <c r="J165" s="940"/>
      <c r="K165" s="941">
        <f t="shared" si="106"/>
        <v>0</v>
      </c>
      <c r="L165" s="950"/>
      <c r="M165" s="1068"/>
      <c r="N165" s="1112"/>
      <c r="O165" s="944"/>
      <c r="P165" s="1049"/>
      <c r="Q165" s="1049"/>
      <c r="R165" s="1069"/>
      <c r="S165" s="1050"/>
      <c r="T165" s="1113"/>
    </row>
    <row r="166" spans="1:20" ht="30.65" customHeight="1">
      <c r="A166" s="1064"/>
      <c r="B166" s="935" t="s">
        <v>421</v>
      </c>
      <c r="C166" s="1045" t="s">
        <v>424</v>
      </c>
      <c r="D166" s="1067" t="s">
        <v>78</v>
      </c>
      <c r="E166" s="1047"/>
      <c r="F166" s="1047"/>
      <c r="G166" s="1047"/>
      <c r="H166" s="1048"/>
      <c r="I166" s="940"/>
      <c r="J166" s="940"/>
      <c r="K166" s="941">
        <f t="shared" si="106"/>
        <v>0</v>
      </c>
      <c r="L166" s="950"/>
      <c r="M166" s="1068"/>
      <c r="N166" s="1112"/>
      <c r="O166" s="944"/>
      <c r="P166" s="1049"/>
      <c r="Q166" s="1049"/>
      <c r="R166" s="1069"/>
      <c r="S166" s="1050"/>
      <c r="T166" s="1113"/>
    </row>
    <row r="167" spans="1:20" ht="30.65" customHeight="1">
      <c r="A167" s="1064"/>
      <c r="B167" s="935" t="s">
        <v>421</v>
      </c>
      <c r="C167" s="1045" t="s">
        <v>425</v>
      </c>
      <c r="D167" s="1067" t="s">
        <v>78</v>
      </c>
      <c r="E167" s="1047"/>
      <c r="F167" s="1047"/>
      <c r="G167" s="1047"/>
      <c r="H167" s="1048"/>
      <c r="I167" s="940"/>
      <c r="J167" s="940"/>
      <c r="K167" s="941">
        <f t="shared" si="106"/>
        <v>0</v>
      </c>
      <c r="L167" s="950"/>
      <c r="M167" s="1068"/>
      <c r="N167" s="1112"/>
      <c r="O167" s="944"/>
      <c r="P167" s="1049"/>
      <c r="Q167" s="1049"/>
      <c r="R167" s="1069"/>
      <c r="S167" s="1050"/>
      <c r="T167" s="1113"/>
    </row>
    <row r="168" spans="1:20" ht="30.65" customHeight="1">
      <c r="A168" s="1064"/>
      <c r="B168" s="935" t="s">
        <v>421</v>
      </c>
      <c r="C168" s="1045" t="s">
        <v>426</v>
      </c>
      <c r="D168" s="1067" t="s">
        <v>78</v>
      </c>
      <c r="E168" s="1047"/>
      <c r="F168" s="1047"/>
      <c r="G168" s="1047"/>
      <c r="H168" s="1048"/>
      <c r="I168" s="940"/>
      <c r="J168" s="940"/>
      <c r="K168" s="941">
        <f t="shared" si="106"/>
        <v>0</v>
      </c>
      <c r="L168" s="950"/>
      <c r="M168" s="1068"/>
      <c r="N168" s="1112"/>
      <c r="O168" s="944"/>
      <c r="P168" s="1049"/>
      <c r="Q168" s="1049"/>
      <c r="R168" s="1069"/>
      <c r="S168" s="1050"/>
      <c r="T168" s="1113"/>
    </row>
    <row r="169" spans="1:20" ht="30.65" customHeight="1">
      <c r="A169" s="1064"/>
      <c r="B169" s="935" t="s">
        <v>421</v>
      </c>
      <c r="C169" s="1045" t="s">
        <v>427</v>
      </c>
      <c r="D169" s="1067" t="s">
        <v>78</v>
      </c>
      <c r="E169" s="1047"/>
      <c r="F169" s="1047"/>
      <c r="G169" s="1047"/>
      <c r="H169" s="1048"/>
      <c r="I169" s="940"/>
      <c r="J169" s="940"/>
      <c r="K169" s="941">
        <f t="shared" si="106"/>
        <v>0</v>
      </c>
      <c r="L169" s="950"/>
      <c r="M169" s="1068"/>
      <c r="N169" s="1112"/>
      <c r="O169" s="944"/>
      <c r="P169" s="1049"/>
      <c r="Q169" s="1049"/>
      <c r="R169" s="1069"/>
      <c r="S169" s="1050"/>
      <c r="T169" s="1113"/>
    </row>
    <row r="170" spans="1:20" ht="30.65" customHeight="1">
      <c r="A170" s="1064"/>
      <c r="B170" s="935" t="s">
        <v>421</v>
      </c>
      <c r="C170" s="1045" t="s">
        <v>428</v>
      </c>
      <c r="D170" s="1067" t="s">
        <v>78</v>
      </c>
      <c r="E170" s="1047"/>
      <c r="F170" s="1047"/>
      <c r="G170" s="1047"/>
      <c r="H170" s="1048"/>
      <c r="I170" s="940"/>
      <c r="J170" s="940"/>
      <c r="K170" s="941">
        <f t="shared" si="106"/>
        <v>0</v>
      </c>
      <c r="L170" s="950"/>
      <c r="M170" s="1068"/>
      <c r="N170" s="1112"/>
      <c r="O170" s="944"/>
      <c r="P170" s="1049"/>
      <c r="Q170" s="1049"/>
      <c r="R170" s="1069"/>
      <c r="S170" s="1050"/>
      <c r="T170" s="1113"/>
    </row>
    <row r="171" spans="1:20" ht="30.65" customHeight="1">
      <c r="A171" s="1064"/>
      <c r="B171" s="935" t="s">
        <v>421</v>
      </c>
      <c r="C171" s="1045" t="s">
        <v>429</v>
      </c>
      <c r="D171" s="1067" t="s">
        <v>78</v>
      </c>
      <c r="E171" s="1047"/>
      <c r="F171" s="1047"/>
      <c r="G171" s="1047"/>
      <c r="H171" s="1048"/>
      <c r="I171" s="940"/>
      <c r="J171" s="940"/>
      <c r="K171" s="941">
        <f t="shared" si="106"/>
        <v>0</v>
      </c>
      <c r="L171" s="950"/>
      <c r="M171" s="1068"/>
      <c r="N171" s="1112"/>
      <c r="O171" s="944"/>
      <c r="P171" s="1049"/>
      <c r="Q171" s="1049"/>
      <c r="R171" s="1069"/>
      <c r="S171" s="1050"/>
      <c r="T171" s="1113"/>
    </row>
    <row r="172" spans="1:20" ht="30.65" customHeight="1">
      <c r="A172" s="1064"/>
      <c r="B172" s="935" t="s">
        <v>421</v>
      </c>
      <c r="C172" s="1045" t="s">
        <v>430</v>
      </c>
      <c r="D172" s="1067" t="s">
        <v>78</v>
      </c>
      <c r="E172" s="1047"/>
      <c r="F172" s="1047"/>
      <c r="G172" s="1047"/>
      <c r="H172" s="1048"/>
      <c r="I172" s="940"/>
      <c r="J172" s="940"/>
      <c r="K172" s="941">
        <f t="shared" si="106"/>
        <v>0</v>
      </c>
      <c r="L172" s="950"/>
      <c r="M172" s="1068"/>
      <c r="N172" s="1112"/>
      <c r="O172" s="944"/>
      <c r="P172" s="1049"/>
      <c r="Q172" s="1049"/>
      <c r="R172" s="1069"/>
      <c r="S172" s="1050"/>
      <c r="T172" s="1113"/>
    </row>
    <row r="173" spans="1:20" ht="30.65" customHeight="1">
      <c r="A173" s="1064"/>
      <c r="B173" s="935" t="s">
        <v>421</v>
      </c>
      <c r="C173" s="1045" t="s">
        <v>431</v>
      </c>
      <c r="D173" s="1067" t="s">
        <v>78</v>
      </c>
      <c r="E173" s="1047"/>
      <c r="F173" s="1047"/>
      <c r="G173" s="1047"/>
      <c r="H173" s="1048"/>
      <c r="I173" s="940"/>
      <c r="J173" s="940"/>
      <c r="K173" s="941">
        <f t="shared" si="106"/>
        <v>0</v>
      </c>
      <c r="L173" s="950"/>
      <c r="M173" s="1068"/>
      <c r="N173" s="1112"/>
      <c r="O173" s="944"/>
      <c r="P173" s="1049"/>
      <c r="Q173" s="1049"/>
      <c r="R173" s="1069"/>
      <c r="S173" s="1050"/>
      <c r="T173" s="1113"/>
    </row>
    <row r="174" spans="1:20" ht="30.65" customHeight="1">
      <c r="A174" s="1064"/>
      <c r="B174" s="935" t="s">
        <v>421</v>
      </c>
      <c r="C174" s="1045" t="s">
        <v>432</v>
      </c>
      <c r="D174" s="1067" t="s">
        <v>78</v>
      </c>
      <c r="E174" s="1047"/>
      <c r="F174" s="1047"/>
      <c r="G174" s="1047"/>
      <c r="H174" s="1048"/>
      <c r="I174" s="940"/>
      <c r="J174" s="940"/>
      <c r="K174" s="941">
        <f t="shared" si="106"/>
        <v>0</v>
      </c>
      <c r="L174" s="950"/>
      <c r="M174" s="1068"/>
      <c r="N174" s="1112"/>
      <c r="O174" s="944"/>
      <c r="P174" s="1049"/>
      <c r="Q174" s="1049"/>
      <c r="R174" s="1069"/>
      <c r="S174" s="1050"/>
      <c r="T174" s="1113"/>
    </row>
    <row r="175" spans="1:20" ht="30.65" customHeight="1">
      <c r="A175" s="1064"/>
      <c r="B175" s="935" t="s">
        <v>421</v>
      </c>
      <c r="C175" s="1045" t="s">
        <v>433</v>
      </c>
      <c r="D175" s="1067" t="s">
        <v>78</v>
      </c>
      <c r="E175" s="1047"/>
      <c r="F175" s="1047"/>
      <c r="G175" s="1047"/>
      <c r="H175" s="1048"/>
      <c r="I175" s="940"/>
      <c r="J175" s="940"/>
      <c r="K175" s="941">
        <f t="shared" si="106"/>
        <v>0</v>
      </c>
      <c r="L175" s="950"/>
      <c r="M175" s="1068"/>
      <c r="N175" s="1112"/>
      <c r="O175" s="944"/>
      <c r="P175" s="1049"/>
      <c r="Q175" s="1049"/>
      <c r="R175" s="1069"/>
      <c r="S175" s="1050"/>
      <c r="T175" s="1113"/>
    </row>
    <row r="176" spans="1:20" ht="30.65" customHeight="1">
      <c r="A176" s="1064"/>
      <c r="B176" s="935" t="s">
        <v>421</v>
      </c>
      <c r="C176" s="1045" t="s">
        <v>434</v>
      </c>
      <c r="D176" s="1067" t="s">
        <v>78</v>
      </c>
      <c r="E176" s="1047"/>
      <c r="F176" s="1047"/>
      <c r="G176" s="1047"/>
      <c r="H176" s="1048"/>
      <c r="I176" s="940"/>
      <c r="J176" s="940"/>
      <c r="K176" s="941">
        <f t="shared" si="106"/>
        <v>0</v>
      </c>
      <c r="L176" s="950"/>
      <c r="M176" s="1068"/>
      <c r="N176" s="1112"/>
      <c r="O176" s="944"/>
      <c r="P176" s="1049"/>
      <c r="Q176" s="1049"/>
      <c r="R176" s="1069"/>
      <c r="S176" s="1050"/>
      <c r="T176" s="1113"/>
    </row>
    <row r="177" spans="1:53" ht="30.65" customHeight="1">
      <c r="A177" s="1064"/>
      <c r="B177" s="935" t="s">
        <v>421</v>
      </c>
      <c r="C177" s="1045" t="s">
        <v>435</v>
      </c>
      <c r="D177" s="1067" t="s">
        <v>78</v>
      </c>
      <c r="E177" s="1047"/>
      <c r="F177" s="1047"/>
      <c r="G177" s="1047"/>
      <c r="H177" s="1048"/>
      <c r="I177" s="940"/>
      <c r="J177" s="940"/>
      <c r="K177" s="941">
        <f t="shared" si="106"/>
        <v>0</v>
      </c>
      <c r="L177" s="950"/>
      <c r="M177" s="1068"/>
      <c r="N177" s="1112"/>
      <c r="O177" s="944"/>
      <c r="P177" s="1049"/>
      <c r="Q177" s="1049"/>
      <c r="R177" s="1069"/>
      <c r="S177" s="1050"/>
      <c r="T177" s="1113"/>
    </row>
    <row r="178" spans="1:53" ht="30.65" customHeight="1">
      <c r="A178" s="1070"/>
      <c r="B178" s="935" t="s">
        <v>421</v>
      </c>
      <c r="C178" s="1045" t="s">
        <v>436</v>
      </c>
      <c r="D178" s="1067" t="s">
        <v>78</v>
      </c>
      <c r="E178" s="1047"/>
      <c r="F178" s="1047"/>
      <c r="G178" s="1047"/>
      <c r="H178" s="1048"/>
      <c r="I178" s="940"/>
      <c r="J178" s="940"/>
      <c r="K178" s="941">
        <f t="shared" si="106"/>
        <v>0</v>
      </c>
      <c r="L178" s="950"/>
      <c r="M178" s="1068"/>
      <c r="N178" s="1112"/>
      <c r="O178" s="944"/>
      <c r="P178" s="1049"/>
      <c r="Q178" s="1049"/>
      <c r="R178" s="1069"/>
      <c r="S178" s="1050"/>
      <c r="T178" s="1113"/>
    </row>
    <row r="179" spans="1:53" ht="18.5">
      <c r="A179" s="1071"/>
      <c r="B179" s="953"/>
      <c r="C179" s="954"/>
      <c r="D179" s="955"/>
      <c r="E179" s="955"/>
      <c r="F179" s="955"/>
      <c r="G179" s="955"/>
      <c r="H179" s="954"/>
      <c r="I179" s="956">
        <f t="shared" ref="I179:J179" si="107">SUM(I164:I178)</f>
        <v>0</v>
      </c>
      <c r="J179" s="956">
        <f t="shared" si="107"/>
        <v>0</v>
      </c>
      <c r="K179" s="957">
        <f>SUM(K164:K178)</f>
        <v>0</v>
      </c>
      <c r="L179" s="958"/>
      <c r="M179" s="959"/>
      <c r="N179" s="960">
        <f>SUM(N164:N178)</f>
        <v>0</v>
      </c>
      <c r="O179" s="1052">
        <f>SUM(O164:O178)</f>
        <v>0</v>
      </c>
      <c r="P179" s="1052"/>
      <c r="Q179" s="964"/>
      <c r="R179" s="1053"/>
      <c r="S179" s="962">
        <f>SUM(S164:S178)</f>
        <v>0</v>
      </c>
      <c r="T179" s="963">
        <f>SUM(T164:T178)</f>
        <v>0</v>
      </c>
    </row>
    <row r="180" spans="1:53" ht="26">
      <c r="A180" s="1072" t="s">
        <v>437</v>
      </c>
      <c r="B180" s="1073"/>
      <c r="C180" s="1074"/>
      <c r="D180" s="1074"/>
      <c r="E180" s="1289" t="s">
        <v>438</v>
      </c>
      <c r="F180" s="1290"/>
      <c r="G180" s="1290"/>
      <c r="H180" s="1291"/>
      <c r="I180" s="1075"/>
      <c r="J180" s="1075"/>
      <c r="K180" s="1076">
        <f>K5+K128</f>
        <v>0</v>
      </c>
      <c r="L180" s="1077"/>
      <c r="M180" s="1075"/>
      <c r="N180" s="1078"/>
      <c r="O180" s="1079"/>
      <c r="P180" s="1080"/>
      <c r="Q180" s="1081"/>
      <c r="R180" s="1081"/>
      <c r="S180" s="1026">
        <f>S5+S128</f>
        <v>0</v>
      </c>
      <c r="T180" s="1076">
        <f>T5+T128</f>
        <v>162126.39999999999</v>
      </c>
    </row>
    <row r="181" spans="1:53" ht="31">
      <c r="A181" s="1116"/>
      <c r="B181" s="1116"/>
      <c r="C181" s="1116"/>
      <c r="D181" s="1117" t="s">
        <v>439</v>
      </c>
      <c r="E181" s="1082"/>
      <c r="F181" s="1082"/>
      <c r="G181" s="1082"/>
      <c r="H181" s="1118"/>
      <c r="I181" s="1119"/>
      <c r="J181" s="1119"/>
      <c r="K181" s="1120"/>
      <c r="L181" s="1121"/>
      <c r="M181" s="1121"/>
      <c r="N181" s="1121"/>
      <c r="O181" s="1116"/>
      <c r="P181" s="1116"/>
      <c r="Q181" s="1083" t="s">
        <v>440</v>
      </c>
      <c r="R181" s="1084" t="str">
        <f>IFERROR(AVERAGE(P8:P16,P19:P19, P21:P24,P26:P28,P32:P34,P37:P39,P41:P42,P46:P51,P53:P58,P60:P66,P69:P72,P74:P78,P80:P83,P86:P88,P90:P93,P97:P99,P101:P105,P108:P117,P120:P126),"")</f>
        <v/>
      </c>
      <c r="S181" s="1085" t="s">
        <v>441</v>
      </c>
      <c r="T181" s="1086"/>
    </row>
    <row r="182" spans="1:53" ht="32.25" customHeight="1">
      <c r="A182" s="1116"/>
      <c r="B182" s="1116"/>
      <c r="C182" s="1116"/>
      <c r="D182" s="1122" t="s">
        <v>442</v>
      </c>
      <c r="E182" s="1087"/>
      <c r="F182" s="1087"/>
      <c r="G182" s="1087"/>
      <c r="H182" s="1123"/>
      <c r="I182" s="1123"/>
      <c r="J182" s="1123"/>
      <c r="K182" s="1088">
        <f>K180-K181</f>
        <v>0</v>
      </c>
      <c r="L182" s="1124"/>
      <c r="M182" s="1121"/>
      <c r="N182" s="1121"/>
      <c r="O182" s="1116"/>
      <c r="P182" s="1116"/>
      <c r="Q182" s="1116"/>
      <c r="R182" s="1116"/>
      <c r="S182" s="1116"/>
      <c r="T182" s="1116"/>
    </row>
    <row r="185" spans="1:53" ht="15.5">
      <c r="A185" s="1116"/>
      <c r="B185" s="1116"/>
      <c r="C185" s="1116"/>
      <c r="D185" s="1116"/>
      <c r="K185" s="1124"/>
      <c r="L185" s="1124"/>
      <c r="M185" s="1116"/>
      <c r="N185" s="1116"/>
      <c r="O185" s="1116"/>
      <c r="P185" s="1116"/>
      <c r="Q185" s="1116"/>
      <c r="R185" s="1116"/>
      <c r="S185" s="1116"/>
      <c r="T185" s="1116"/>
      <c r="X185" s="1264" t="s">
        <v>443</v>
      </c>
      <c r="Y185" s="1265" t="s">
        <v>444</v>
      </c>
      <c r="Z185" s="1264" t="s">
        <v>445</v>
      </c>
      <c r="AA185" s="1262" t="s">
        <v>446</v>
      </c>
      <c r="AB185" s="1262" t="s">
        <v>447</v>
      </c>
      <c r="AC185" s="1264" t="s">
        <v>448</v>
      </c>
      <c r="AD185" s="1264"/>
      <c r="AE185" s="1264"/>
      <c r="AF185" s="1264"/>
      <c r="AG185" s="1265" t="s">
        <v>241</v>
      </c>
      <c r="AH185" s="1265" t="s">
        <v>242</v>
      </c>
      <c r="AI185" s="1267" t="s">
        <v>449</v>
      </c>
      <c r="AJ185" s="1267" t="s">
        <v>450</v>
      </c>
      <c r="AK185" s="392" t="s">
        <v>451</v>
      </c>
      <c r="AL185" s="1258" t="s">
        <v>452</v>
      </c>
      <c r="AM185" s="1258"/>
      <c r="AN185" s="1258"/>
      <c r="AO185" s="1258"/>
      <c r="AP185" s="1258"/>
      <c r="AQ185" s="1259" t="s">
        <v>453</v>
      </c>
      <c r="AR185" s="1260"/>
      <c r="AS185" s="1260"/>
      <c r="AT185" s="1260"/>
      <c r="AU185" s="1260"/>
      <c r="AV185" s="1260"/>
      <c r="AW185" s="1261"/>
      <c r="AX185" s="1258" t="s">
        <v>454</v>
      </c>
      <c r="AY185" s="1258"/>
      <c r="AZ185" s="1258"/>
      <c r="BA185" s="1262" t="s">
        <v>455</v>
      </c>
    </row>
    <row r="186" spans="1:53" ht="77.5">
      <c r="A186" s="1116"/>
      <c r="B186" s="1116"/>
      <c r="C186" s="1116"/>
      <c r="D186" s="1116"/>
      <c r="K186" s="1124"/>
      <c r="L186" s="1124"/>
      <c r="M186" s="1116"/>
      <c r="N186" s="1116"/>
      <c r="O186" s="1116"/>
      <c r="P186" s="1116"/>
      <c r="Q186" s="1116"/>
      <c r="R186" s="1116"/>
      <c r="S186" s="1116"/>
      <c r="T186" s="1116"/>
      <c r="X186" s="1264"/>
      <c r="Y186" s="1266"/>
      <c r="Z186" s="1264"/>
      <c r="AA186" s="1263"/>
      <c r="AB186" s="1263"/>
      <c r="AC186" s="391" t="s">
        <v>248</v>
      </c>
      <c r="AD186" s="391" t="s">
        <v>249</v>
      </c>
      <c r="AE186" s="391" t="s">
        <v>250</v>
      </c>
      <c r="AF186" s="391" t="s">
        <v>251</v>
      </c>
      <c r="AG186" s="1266"/>
      <c r="AH186" s="1266"/>
      <c r="AI186" s="1268"/>
      <c r="AJ186" s="1268"/>
      <c r="AK186" s="394"/>
      <c r="AL186" s="393" t="s">
        <v>456</v>
      </c>
      <c r="AM186" s="393" t="s">
        <v>457</v>
      </c>
      <c r="AN186" s="393" t="s">
        <v>458</v>
      </c>
      <c r="AO186" s="393" t="s">
        <v>459</v>
      </c>
      <c r="AP186" s="393" t="s">
        <v>460</v>
      </c>
      <c r="AQ186" s="393" t="s">
        <v>461</v>
      </c>
      <c r="AR186" s="393" t="s">
        <v>462</v>
      </c>
      <c r="AS186" s="393" t="s">
        <v>463</v>
      </c>
      <c r="AT186" s="393" t="s">
        <v>464</v>
      </c>
      <c r="AU186" s="393" t="s">
        <v>465</v>
      </c>
      <c r="AV186" s="393" t="s">
        <v>466</v>
      </c>
      <c r="AW186" s="393" t="s">
        <v>467</v>
      </c>
      <c r="AX186" s="393" t="s">
        <v>468</v>
      </c>
      <c r="AY186" s="393" t="s">
        <v>469</v>
      </c>
      <c r="AZ186" s="393" t="s">
        <v>470</v>
      </c>
      <c r="BA186" s="1263"/>
    </row>
    <row r="187" spans="1:53" ht="15.5">
      <c r="A187" s="1116"/>
      <c r="B187" s="1116"/>
      <c r="C187" s="1116"/>
      <c r="D187" s="1116"/>
      <c r="K187" s="1124"/>
      <c r="L187" s="1124"/>
      <c r="M187" s="1116"/>
      <c r="N187" s="1116"/>
      <c r="O187" s="1116"/>
      <c r="P187" s="1116"/>
      <c r="Q187" s="1116"/>
      <c r="R187" s="1116"/>
      <c r="S187" s="1116"/>
      <c r="T187" s="1116"/>
      <c r="X187" s="395"/>
      <c r="Y187" s="396"/>
      <c r="Z187" s="395"/>
      <c r="AA187" s="397"/>
      <c r="AB187" s="397"/>
      <c r="AC187" s="395"/>
      <c r="AD187" s="395"/>
      <c r="AE187" s="395"/>
      <c r="AF187" s="395"/>
      <c r="AG187" s="396"/>
      <c r="AH187" s="398"/>
      <c r="AI187" s="399"/>
      <c r="AJ187" s="399"/>
      <c r="AK187" s="400"/>
      <c r="AL187" s="401"/>
      <c r="AM187" s="401"/>
      <c r="AN187" s="401"/>
      <c r="AO187" s="401"/>
      <c r="AP187" s="401"/>
      <c r="AQ187" s="401"/>
      <c r="AR187" s="401"/>
      <c r="AS187" s="401"/>
      <c r="AT187" s="401"/>
      <c r="AU187" s="401"/>
      <c r="AV187" s="401"/>
      <c r="AW187" s="401"/>
      <c r="AX187" s="399"/>
      <c r="AY187" s="399"/>
      <c r="AZ187" s="399"/>
      <c r="BA187" s="397"/>
    </row>
    <row r="188" spans="1:53" ht="62">
      <c r="A188" s="1090"/>
      <c r="B188" s="1116"/>
      <c r="C188" s="1116"/>
      <c r="D188" s="1116"/>
      <c r="K188" s="1124"/>
      <c r="L188" s="1124"/>
      <c r="M188" s="1116"/>
      <c r="N188" s="1116"/>
      <c r="O188" s="1116"/>
      <c r="P188" s="1116"/>
      <c r="Q188" s="1116"/>
      <c r="R188" s="1116"/>
      <c r="S188" s="1116"/>
      <c r="T188" s="1116"/>
      <c r="X188" s="316"/>
      <c r="Y188" s="317"/>
      <c r="Z188" s="316"/>
      <c r="AA188" s="316" t="s">
        <v>471</v>
      </c>
      <c r="AB188" s="316"/>
      <c r="AC188" s="316">
        <f>SUM(AC189:AC203)</f>
        <v>0</v>
      </c>
      <c r="AD188" s="316">
        <f>SUM(AD189:AD203)</f>
        <v>0</v>
      </c>
      <c r="AE188" s="316">
        <f>SUM(AE189:AE203)</f>
        <v>0</v>
      </c>
      <c r="AF188" s="316">
        <f>SUM(AF189:AF203)</f>
        <v>0</v>
      </c>
      <c r="AG188" s="318"/>
      <c r="AH188" s="319"/>
      <c r="AI188" s="320"/>
      <c r="AJ188" s="320">
        <f t="shared" ref="AJ188" si="108">SUM(AJ189:AJ203)</f>
        <v>341694.20454545459</v>
      </c>
      <c r="AK188" s="321"/>
      <c r="AL188" s="320">
        <f>SUM(AL189:AL203)</f>
        <v>58379.868749999994</v>
      </c>
      <c r="AM188" s="320">
        <f t="shared" ref="AM188:AV188" si="109">SUM(AM189:AM203)</f>
        <v>41832.346022727274</v>
      </c>
      <c r="AN188" s="320">
        <f t="shared" si="109"/>
        <v>133332.87613636366</v>
      </c>
      <c r="AO188" s="320">
        <f>SUM(AO189:AO203)</f>
        <v>62713.227272727265</v>
      </c>
      <c r="AP188" s="320">
        <f t="shared" si="109"/>
        <v>45435.88636363636</v>
      </c>
      <c r="AQ188" s="320">
        <f t="shared" si="109"/>
        <v>56949.034090909088</v>
      </c>
      <c r="AR188" s="320">
        <f>SUM(AR189:AR203)</f>
        <v>56949.034090909088</v>
      </c>
      <c r="AS188" s="320">
        <f t="shared" si="109"/>
        <v>56949.034090909088</v>
      </c>
      <c r="AT188" s="320">
        <f t="shared" si="109"/>
        <v>56949.034090909088</v>
      </c>
      <c r="AU188" s="320">
        <f t="shared" si="109"/>
        <v>56949.034090909088</v>
      </c>
      <c r="AV188" s="320">
        <f t="shared" si="109"/>
        <v>56949.034090909088</v>
      </c>
      <c r="AW188" s="320">
        <f>SUM(AW189:AW203)</f>
        <v>341694.20454545459</v>
      </c>
      <c r="AX188" s="320">
        <f t="shared" ref="AX188:AZ188" si="110">SUM(AX189:AX203)</f>
        <v>341694.20454545459</v>
      </c>
      <c r="AY188" s="320">
        <f t="shared" si="110"/>
        <v>0</v>
      </c>
      <c r="AZ188" s="320">
        <f t="shared" si="110"/>
        <v>341694.20454545459</v>
      </c>
      <c r="BA188" s="322"/>
    </row>
    <row r="189" spans="1:53" ht="46.5">
      <c r="A189" s="1116"/>
      <c r="B189" s="1116"/>
      <c r="C189" s="1116"/>
      <c r="D189" s="1116"/>
      <c r="K189" s="1124"/>
      <c r="L189" s="1124"/>
      <c r="M189" s="1116"/>
      <c r="N189" s="1116"/>
      <c r="O189" s="1116"/>
      <c r="P189" s="1116"/>
      <c r="Q189" s="1116"/>
      <c r="R189" s="1116"/>
      <c r="S189" s="1116"/>
      <c r="T189" s="1116"/>
      <c r="X189" s="323" t="s">
        <v>421</v>
      </c>
      <c r="Y189" s="324"/>
      <c r="Z189" s="323"/>
      <c r="AA189" s="325" t="s">
        <v>422</v>
      </c>
      <c r="AB189" s="326" t="s">
        <v>78</v>
      </c>
      <c r="AC189" s="327"/>
      <c r="AD189" s="327"/>
      <c r="AE189" s="327"/>
      <c r="AF189" s="327"/>
      <c r="AG189" s="328" t="s">
        <v>472</v>
      </c>
      <c r="AH189" s="329">
        <v>15</v>
      </c>
      <c r="AI189" s="330">
        <v>2424.5454545454545</v>
      </c>
      <c r="AJ189" s="330">
        <f t="shared" ref="AJ189:AJ203" si="111">AI189*AH189</f>
        <v>36368.181818181816</v>
      </c>
      <c r="AK189" s="331"/>
      <c r="AL189" s="332">
        <v>18184.090909090908</v>
      </c>
      <c r="AM189" s="332">
        <v>3636.818181818182</v>
      </c>
      <c r="AN189" s="332">
        <v>7273.636363636364</v>
      </c>
      <c r="AO189" s="332">
        <v>1818.409090909091</v>
      </c>
      <c r="AP189" s="332">
        <v>5455.2272727272721</v>
      </c>
      <c r="AQ189" s="333">
        <f>AJ189/6</f>
        <v>6061.363636363636</v>
      </c>
      <c r="AR189" s="333">
        <v>6061.363636363636</v>
      </c>
      <c r="AS189" s="333">
        <v>6061.363636363636</v>
      </c>
      <c r="AT189" s="333">
        <v>6061.363636363636</v>
      </c>
      <c r="AU189" s="333">
        <v>6061.363636363636</v>
      </c>
      <c r="AV189" s="333">
        <v>6061.363636363636</v>
      </c>
      <c r="AW189" s="334">
        <f t="shared" ref="AW189:AW203" si="112">AH189*AI189</f>
        <v>36368.181818181816</v>
      </c>
      <c r="AX189" s="334">
        <f>AW189</f>
        <v>36368.181818181816</v>
      </c>
      <c r="AY189" s="334">
        <f t="shared" ref="AY189:AY203" si="113">AJ189-AX189</f>
        <v>0</v>
      </c>
      <c r="AZ189" s="334">
        <f>AY189+AX189</f>
        <v>36368.181818181816</v>
      </c>
      <c r="BA189" s="335"/>
    </row>
    <row r="190" spans="1:53" ht="46.5">
      <c r="A190" s="1116"/>
      <c r="B190" s="1116"/>
      <c r="C190" s="1116"/>
      <c r="D190" s="1116"/>
      <c r="K190" s="1124"/>
      <c r="L190" s="1124"/>
      <c r="M190" s="1116"/>
      <c r="N190" s="1116"/>
      <c r="O190" s="1116"/>
      <c r="P190" s="1116"/>
      <c r="Q190" s="1116"/>
      <c r="R190" s="1116"/>
      <c r="S190" s="1116"/>
      <c r="T190" s="1116"/>
      <c r="X190" s="323" t="s">
        <v>421</v>
      </c>
      <c r="Y190" s="324"/>
      <c r="Z190" s="323"/>
      <c r="AA190" s="325" t="s">
        <v>423</v>
      </c>
      <c r="AB190" s="326" t="s">
        <v>78</v>
      </c>
      <c r="AC190" s="327"/>
      <c r="AD190" s="327"/>
      <c r="AE190" s="327"/>
      <c r="AF190" s="327"/>
      <c r="AG190" s="328" t="s">
        <v>472</v>
      </c>
      <c r="AH190" s="329">
        <v>15</v>
      </c>
      <c r="AI190" s="330">
        <v>2239.3636363636365</v>
      </c>
      <c r="AJ190" s="330">
        <f t="shared" si="111"/>
        <v>33590.454545454544</v>
      </c>
      <c r="AK190" s="331"/>
      <c r="AL190" s="332">
        <v>6718.090909090909</v>
      </c>
      <c r="AM190" s="332">
        <v>6718.090909090909</v>
      </c>
      <c r="AN190" s="332">
        <v>11756.65909090909</v>
      </c>
      <c r="AO190" s="332">
        <v>3359.0454545454545</v>
      </c>
      <c r="AP190" s="332">
        <v>5038.5681818181811</v>
      </c>
      <c r="AQ190" s="333">
        <f t="shared" ref="AQ190:AQ203" si="114">AJ190/6</f>
        <v>5598.409090909091</v>
      </c>
      <c r="AR190" s="333">
        <v>5598.409090909091</v>
      </c>
      <c r="AS190" s="333">
        <v>5598.409090909091</v>
      </c>
      <c r="AT190" s="333">
        <v>5598.409090909091</v>
      </c>
      <c r="AU190" s="333">
        <v>5598.409090909091</v>
      </c>
      <c r="AV190" s="333">
        <v>5598.409090909091</v>
      </c>
      <c r="AW190" s="334">
        <f t="shared" si="112"/>
        <v>33590.454545454544</v>
      </c>
      <c r="AX190" s="334">
        <f t="shared" ref="AX190:AX203" si="115">AW190</f>
        <v>33590.454545454544</v>
      </c>
      <c r="AY190" s="334">
        <f t="shared" si="113"/>
        <v>0</v>
      </c>
      <c r="AZ190" s="334">
        <f t="shared" ref="AZ190:AZ203" si="116">AY190+AX190</f>
        <v>33590.454545454544</v>
      </c>
      <c r="BA190" s="335"/>
    </row>
    <row r="191" spans="1:53" ht="108.5">
      <c r="A191" s="1116"/>
      <c r="B191" s="1116"/>
      <c r="C191" s="1116"/>
      <c r="D191" s="1116"/>
      <c r="K191" s="1124"/>
      <c r="L191" s="1124"/>
      <c r="M191" s="1116"/>
      <c r="N191" s="1116"/>
      <c r="O191" s="1116"/>
      <c r="P191" s="1116"/>
      <c r="Q191" s="1116"/>
      <c r="R191" s="1116"/>
      <c r="S191" s="1116"/>
      <c r="T191" s="1116"/>
      <c r="X191" s="323" t="s">
        <v>421</v>
      </c>
      <c r="Y191" s="324"/>
      <c r="Z191" s="323"/>
      <c r="AA191" s="325" t="s">
        <v>424</v>
      </c>
      <c r="AB191" s="326" t="s">
        <v>78</v>
      </c>
      <c r="AC191" s="327"/>
      <c r="AD191" s="327"/>
      <c r="AE191" s="327"/>
      <c r="AF191" s="327"/>
      <c r="AG191" s="328" t="s">
        <v>472</v>
      </c>
      <c r="AH191" s="329">
        <v>15</v>
      </c>
      <c r="AI191" s="330">
        <v>1860.409090909091</v>
      </c>
      <c r="AJ191" s="330">
        <f t="shared" si="111"/>
        <v>27906.136363636364</v>
      </c>
      <c r="AK191" s="331"/>
      <c r="AL191" s="332">
        <v>3488.2670454545455</v>
      </c>
      <c r="AM191" s="332">
        <v>3488.2670454545455</v>
      </c>
      <c r="AN191" s="332">
        <v>9767.1477272727261</v>
      </c>
      <c r="AO191" s="332">
        <v>5581.227272727273</v>
      </c>
      <c r="AP191" s="332">
        <v>5581.227272727273</v>
      </c>
      <c r="AQ191" s="333">
        <f t="shared" si="114"/>
        <v>4651.022727272727</v>
      </c>
      <c r="AR191" s="333">
        <v>4651.022727272727</v>
      </c>
      <c r="AS191" s="333">
        <v>4651.022727272727</v>
      </c>
      <c r="AT191" s="333">
        <v>4651.022727272727</v>
      </c>
      <c r="AU191" s="333">
        <v>4651.022727272727</v>
      </c>
      <c r="AV191" s="333">
        <v>4651.022727272727</v>
      </c>
      <c r="AW191" s="334">
        <f t="shared" si="112"/>
        <v>27906.136363636364</v>
      </c>
      <c r="AX191" s="334">
        <f t="shared" si="115"/>
        <v>27906.136363636364</v>
      </c>
      <c r="AY191" s="334">
        <f t="shared" si="113"/>
        <v>0</v>
      </c>
      <c r="AZ191" s="334">
        <f t="shared" si="116"/>
        <v>27906.136363636364</v>
      </c>
      <c r="BA191" s="335"/>
    </row>
    <row r="192" spans="1:53" ht="46.5">
      <c r="A192" s="1116"/>
      <c r="B192" s="1116"/>
      <c r="C192" s="1116"/>
      <c r="D192" s="1116"/>
      <c r="K192" s="1124"/>
      <c r="L192" s="1124"/>
      <c r="M192" s="1116"/>
      <c r="N192" s="1116"/>
      <c r="O192" s="1116"/>
      <c r="P192" s="1116"/>
      <c r="Q192" s="1116"/>
      <c r="R192" s="1116"/>
      <c r="S192" s="1116"/>
      <c r="T192" s="1116"/>
      <c r="X192" s="323" t="s">
        <v>421</v>
      </c>
      <c r="Y192" s="324"/>
      <c r="Z192" s="323"/>
      <c r="AA192" s="325" t="s">
        <v>425</v>
      </c>
      <c r="AB192" s="326" t="s">
        <v>78</v>
      </c>
      <c r="AC192" s="327"/>
      <c r="AD192" s="327"/>
      <c r="AE192" s="327"/>
      <c r="AF192" s="327"/>
      <c r="AG192" s="328" t="s">
        <v>472</v>
      </c>
      <c r="AH192" s="329">
        <v>15</v>
      </c>
      <c r="AI192" s="330">
        <v>1403.1818181818182</v>
      </c>
      <c r="AJ192" s="330">
        <f t="shared" si="111"/>
        <v>21047.727272727272</v>
      </c>
      <c r="AK192" s="331"/>
      <c r="AL192" s="332">
        <v>3157.1590909090905</v>
      </c>
      <c r="AM192" s="332">
        <v>3157.1590909090905</v>
      </c>
      <c r="AN192" s="332">
        <v>10523.863636363636</v>
      </c>
      <c r="AO192" s="332">
        <v>4209.545454545455</v>
      </c>
      <c r="AP192" s="332">
        <v>0</v>
      </c>
      <c r="AQ192" s="333">
        <f t="shared" si="114"/>
        <v>3507.9545454545455</v>
      </c>
      <c r="AR192" s="333">
        <v>3507.9545454545455</v>
      </c>
      <c r="AS192" s="333">
        <v>3507.9545454545455</v>
      </c>
      <c r="AT192" s="333">
        <v>3507.9545454545455</v>
      </c>
      <c r="AU192" s="333">
        <v>3507.9545454545455</v>
      </c>
      <c r="AV192" s="333">
        <v>3507.9545454545455</v>
      </c>
      <c r="AW192" s="334">
        <f t="shared" si="112"/>
        <v>21047.727272727272</v>
      </c>
      <c r="AX192" s="334">
        <f t="shared" si="115"/>
        <v>21047.727272727272</v>
      </c>
      <c r="AY192" s="334">
        <f t="shared" si="113"/>
        <v>0</v>
      </c>
      <c r="AZ192" s="334">
        <f t="shared" si="116"/>
        <v>21047.727272727272</v>
      </c>
      <c r="BA192" s="335"/>
    </row>
    <row r="193" spans="1:53" ht="62">
      <c r="A193" s="1116"/>
      <c r="B193" s="1116"/>
      <c r="C193" s="1116"/>
      <c r="D193" s="1116"/>
      <c r="K193" s="1124"/>
      <c r="L193" s="1124"/>
      <c r="M193" s="1116"/>
      <c r="N193" s="1116"/>
      <c r="O193" s="1116"/>
      <c r="P193" s="1116"/>
      <c r="Q193" s="1116"/>
      <c r="R193" s="1116"/>
      <c r="S193" s="1116"/>
      <c r="T193" s="1116"/>
      <c r="X193" s="323" t="s">
        <v>421</v>
      </c>
      <c r="Y193" s="324"/>
      <c r="Z193" s="323"/>
      <c r="AA193" s="325" t="s">
        <v>426</v>
      </c>
      <c r="AB193" s="326" t="s">
        <v>78</v>
      </c>
      <c r="AC193" s="327"/>
      <c r="AD193" s="327"/>
      <c r="AE193" s="327"/>
      <c r="AF193" s="327"/>
      <c r="AG193" s="328" t="s">
        <v>472</v>
      </c>
      <c r="AH193" s="329">
        <v>15</v>
      </c>
      <c r="AI193" s="336">
        <v>1343.0454545454545</v>
      </c>
      <c r="AJ193" s="330">
        <f t="shared" si="111"/>
        <v>20145.681818181816</v>
      </c>
      <c r="AK193" s="331"/>
      <c r="AL193" s="332">
        <v>2014.568181818182</v>
      </c>
      <c r="AM193" s="332">
        <v>4029.136363636364</v>
      </c>
      <c r="AN193" s="332">
        <v>10072.84090909091</v>
      </c>
      <c r="AO193" s="332">
        <v>4029.136363636364</v>
      </c>
      <c r="AP193" s="332">
        <v>0</v>
      </c>
      <c r="AQ193" s="333">
        <f t="shared" si="114"/>
        <v>3357.613636363636</v>
      </c>
      <c r="AR193" s="333">
        <v>3357.613636363636</v>
      </c>
      <c r="AS193" s="333">
        <v>3357.613636363636</v>
      </c>
      <c r="AT193" s="333">
        <v>3357.613636363636</v>
      </c>
      <c r="AU193" s="333">
        <v>3357.613636363636</v>
      </c>
      <c r="AV193" s="333">
        <v>3357.613636363636</v>
      </c>
      <c r="AW193" s="334">
        <f t="shared" si="112"/>
        <v>20145.681818181816</v>
      </c>
      <c r="AX193" s="334">
        <f t="shared" si="115"/>
        <v>20145.681818181816</v>
      </c>
      <c r="AY193" s="334">
        <f t="shared" si="113"/>
        <v>0</v>
      </c>
      <c r="AZ193" s="334">
        <f t="shared" si="116"/>
        <v>20145.681818181816</v>
      </c>
      <c r="BA193" s="335"/>
    </row>
    <row r="194" spans="1:53" ht="77.5">
      <c r="A194" s="1116"/>
      <c r="B194" s="1116"/>
      <c r="C194" s="1116"/>
      <c r="D194" s="1116"/>
      <c r="K194" s="1124"/>
      <c r="L194" s="1124"/>
      <c r="M194" s="1116"/>
      <c r="N194" s="1116"/>
      <c r="O194" s="1116"/>
      <c r="P194" s="1116"/>
      <c r="Q194" s="1116"/>
      <c r="R194" s="1116"/>
      <c r="S194" s="1116"/>
      <c r="T194" s="1116"/>
      <c r="X194" s="323" t="s">
        <v>421</v>
      </c>
      <c r="Y194" s="324"/>
      <c r="Z194" s="323"/>
      <c r="AA194" s="325" t="s">
        <v>427</v>
      </c>
      <c r="AB194" s="326" t="s">
        <v>78</v>
      </c>
      <c r="AC194" s="327"/>
      <c r="AD194" s="327"/>
      <c r="AE194" s="327"/>
      <c r="AF194" s="327"/>
      <c r="AG194" s="328" t="s">
        <v>472</v>
      </c>
      <c r="AH194" s="329">
        <v>15</v>
      </c>
      <c r="AI194" s="336">
        <v>1343.0454545454545</v>
      </c>
      <c r="AJ194" s="330">
        <f t="shared" si="111"/>
        <v>20145.681818181816</v>
      </c>
      <c r="AK194" s="331"/>
      <c r="AL194" s="332">
        <v>2518.2102272727275</v>
      </c>
      <c r="AM194" s="332">
        <v>2518.2102272727275</v>
      </c>
      <c r="AN194" s="332">
        <v>7050.9886363636369</v>
      </c>
      <c r="AO194" s="332">
        <v>4029.136363636364</v>
      </c>
      <c r="AP194" s="332">
        <v>4029.136363636364</v>
      </c>
      <c r="AQ194" s="333">
        <f t="shared" si="114"/>
        <v>3357.613636363636</v>
      </c>
      <c r="AR194" s="333">
        <v>3357.613636363636</v>
      </c>
      <c r="AS194" s="333">
        <v>3357.613636363636</v>
      </c>
      <c r="AT194" s="333">
        <v>3357.613636363636</v>
      </c>
      <c r="AU194" s="333">
        <v>3357.613636363636</v>
      </c>
      <c r="AV194" s="333">
        <v>3357.613636363636</v>
      </c>
      <c r="AW194" s="334">
        <f t="shared" si="112"/>
        <v>20145.681818181816</v>
      </c>
      <c r="AX194" s="334">
        <f t="shared" si="115"/>
        <v>20145.681818181816</v>
      </c>
      <c r="AY194" s="334">
        <f t="shared" si="113"/>
        <v>0</v>
      </c>
      <c r="AZ194" s="334">
        <f t="shared" si="116"/>
        <v>20145.681818181816</v>
      </c>
      <c r="BA194" s="335"/>
    </row>
    <row r="195" spans="1:53" ht="124">
      <c r="A195" s="1116"/>
      <c r="B195" s="1116"/>
      <c r="C195" s="1116"/>
      <c r="D195" s="1116"/>
      <c r="K195" s="1124"/>
      <c r="L195" s="1124"/>
      <c r="M195" s="1116"/>
      <c r="N195" s="1116"/>
      <c r="O195" s="1116"/>
      <c r="P195" s="1116"/>
      <c r="Q195" s="1116"/>
      <c r="R195" s="1116"/>
      <c r="S195" s="1116"/>
      <c r="T195" s="1116"/>
      <c r="X195" s="323" t="s">
        <v>421</v>
      </c>
      <c r="Y195" s="324"/>
      <c r="Z195" s="323"/>
      <c r="AA195" s="325" t="s">
        <v>428</v>
      </c>
      <c r="AB195" s="326" t="s">
        <v>78</v>
      </c>
      <c r="AC195" s="327"/>
      <c r="AD195" s="327"/>
      <c r="AE195" s="327"/>
      <c r="AF195" s="327"/>
      <c r="AG195" s="328" t="s">
        <v>472</v>
      </c>
      <c r="AH195" s="329">
        <v>15</v>
      </c>
      <c r="AI195" s="330">
        <v>1363.090909090909</v>
      </c>
      <c r="AJ195" s="330">
        <f t="shared" si="111"/>
        <v>20446.363636363636</v>
      </c>
      <c r="AK195" s="331"/>
      <c r="AL195" s="332">
        <v>0</v>
      </c>
      <c r="AM195" s="332">
        <v>0</v>
      </c>
      <c r="AN195" s="332">
        <v>0</v>
      </c>
      <c r="AO195" s="332">
        <v>20446.363636363636</v>
      </c>
      <c r="AP195" s="332">
        <v>0</v>
      </c>
      <c r="AQ195" s="333">
        <f t="shared" si="114"/>
        <v>3407.7272727272725</v>
      </c>
      <c r="AR195" s="333">
        <v>3407.7272727272725</v>
      </c>
      <c r="AS195" s="333">
        <v>3407.7272727272725</v>
      </c>
      <c r="AT195" s="333">
        <v>3407.7272727272725</v>
      </c>
      <c r="AU195" s="333">
        <v>3407.7272727272725</v>
      </c>
      <c r="AV195" s="333">
        <v>3407.7272727272725</v>
      </c>
      <c r="AW195" s="334">
        <f t="shared" si="112"/>
        <v>20446.363636363636</v>
      </c>
      <c r="AX195" s="334">
        <f t="shared" si="115"/>
        <v>20446.363636363636</v>
      </c>
      <c r="AY195" s="334">
        <f t="shared" si="113"/>
        <v>0</v>
      </c>
      <c r="AZ195" s="334">
        <f t="shared" si="116"/>
        <v>20446.363636363636</v>
      </c>
      <c r="BA195" s="335"/>
    </row>
    <row r="196" spans="1:53" ht="124">
      <c r="A196" s="1116"/>
      <c r="B196" s="1116"/>
      <c r="C196" s="1116"/>
      <c r="D196" s="1116"/>
      <c r="K196" s="1124"/>
      <c r="L196" s="1124"/>
      <c r="M196" s="1116"/>
      <c r="N196" s="1116"/>
      <c r="O196" s="1116"/>
      <c r="P196" s="1116"/>
      <c r="Q196" s="1116"/>
      <c r="R196" s="1116"/>
      <c r="S196" s="1116"/>
      <c r="T196" s="1116"/>
      <c r="X196" s="323" t="s">
        <v>421</v>
      </c>
      <c r="Y196" s="324"/>
      <c r="Z196" s="323"/>
      <c r="AA196" s="325" t="s">
        <v>429</v>
      </c>
      <c r="AB196" s="326" t="s">
        <v>78</v>
      </c>
      <c r="AC196" s="327"/>
      <c r="AD196" s="327"/>
      <c r="AE196" s="327"/>
      <c r="AF196" s="327"/>
      <c r="AG196" s="328" t="s">
        <v>472</v>
      </c>
      <c r="AH196" s="329">
        <v>15</v>
      </c>
      <c r="AI196" s="330">
        <v>1072.4318181818182</v>
      </c>
      <c r="AJ196" s="330">
        <f t="shared" si="111"/>
        <v>16086.477272727274</v>
      </c>
      <c r="AK196" s="331"/>
      <c r="AL196" s="332">
        <v>2010.809659090909</v>
      </c>
      <c r="AM196" s="332">
        <v>2010.809659090909</v>
      </c>
      <c r="AN196" s="332">
        <v>5630.267045454545</v>
      </c>
      <c r="AO196" s="332">
        <v>3217.2954545454545</v>
      </c>
      <c r="AP196" s="332">
        <v>3217.2954545454545</v>
      </c>
      <c r="AQ196" s="333">
        <f t="shared" si="114"/>
        <v>2681.0795454545455</v>
      </c>
      <c r="AR196" s="333">
        <v>2681.0795454545455</v>
      </c>
      <c r="AS196" s="333">
        <v>2681.0795454545455</v>
      </c>
      <c r="AT196" s="333">
        <v>2681.0795454545455</v>
      </c>
      <c r="AU196" s="333">
        <v>2681.0795454545455</v>
      </c>
      <c r="AV196" s="333">
        <v>2681.0795454545455</v>
      </c>
      <c r="AW196" s="334">
        <f t="shared" si="112"/>
        <v>16086.477272727274</v>
      </c>
      <c r="AX196" s="334">
        <f t="shared" si="115"/>
        <v>16086.477272727274</v>
      </c>
      <c r="AY196" s="334">
        <f t="shared" si="113"/>
        <v>0</v>
      </c>
      <c r="AZ196" s="334">
        <f t="shared" si="116"/>
        <v>16086.477272727274</v>
      </c>
      <c r="BA196" s="335"/>
    </row>
    <row r="197" spans="1:53" ht="77.5">
      <c r="A197" s="1116"/>
      <c r="B197" s="1116"/>
      <c r="C197" s="1116"/>
      <c r="D197" s="1116"/>
      <c r="K197" s="1124"/>
      <c r="L197" s="1124"/>
      <c r="M197" s="1116"/>
      <c r="N197" s="1116"/>
      <c r="O197" s="1116"/>
      <c r="P197" s="1116"/>
      <c r="Q197" s="1116"/>
      <c r="R197" s="1116"/>
      <c r="S197" s="1116"/>
      <c r="T197" s="1116"/>
      <c r="X197" s="323" t="s">
        <v>421</v>
      </c>
      <c r="Y197" s="324"/>
      <c r="Z197" s="323"/>
      <c r="AA197" s="325" t="s">
        <v>430</v>
      </c>
      <c r="AB197" s="326" t="s">
        <v>78</v>
      </c>
      <c r="AC197" s="327"/>
      <c r="AD197" s="327"/>
      <c r="AE197" s="327"/>
      <c r="AF197" s="327"/>
      <c r="AG197" s="328" t="s">
        <v>472</v>
      </c>
      <c r="AH197" s="329">
        <v>15</v>
      </c>
      <c r="AI197" s="330">
        <v>3046.909090909091</v>
      </c>
      <c r="AJ197" s="330">
        <f t="shared" si="111"/>
        <v>45703.636363636368</v>
      </c>
      <c r="AK197" s="331"/>
      <c r="AL197" s="332">
        <v>2285.181818181818</v>
      </c>
      <c r="AM197" s="332">
        <v>4570.363636363636</v>
      </c>
      <c r="AN197" s="332">
        <v>36562.909090909088</v>
      </c>
      <c r="AO197" s="332">
        <v>2285.181818181818</v>
      </c>
      <c r="AP197" s="332"/>
      <c r="AQ197" s="333">
        <f t="shared" si="114"/>
        <v>7617.2727272727279</v>
      </c>
      <c r="AR197" s="333">
        <v>7617.2727272727279</v>
      </c>
      <c r="AS197" s="333">
        <v>7617.2727272727279</v>
      </c>
      <c r="AT197" s="333">
        <v>7617.2727272727279</v>
      </c>
      <c r="AU197" s="333">
        <v>7617.2727272727279</v>
      </c>
      <c r="AV197" s="333">
        <v>7617.2727272727279</v>
      </c>
      <c r="AW197" s="334">
        <f t="shared" si="112"/>
        <v>45703.636363636368</v>
      </c>
      <c r="AX197" s="334">
        <f t="shared" si="115"/>
        <v>45703.636363636368</v>
      </c>
      <c r="AY197" s="334">
        <f t="shared" si="113"/>
        <v>0</v>
      </c>
      <c r="AZ197" s="334">
        <f t="shared" si="116"/>
        <v>45703.636363636368</v>
      </c>
      <c r="BA197" s="335"/>
    </row>
    <row r="198" spans="1:53" ht="77.5">
      <c r="A198" s="1116"/>
      <c r="B198" s="1116"/>
      <c r="C198" s="1116"/>
      <c r="D198" s="1116"/>
      <c r="K198" s="1124"/>
      <c r="L198" s="1124"/>
      <c r="M198" s="1116"/>
      <c r="N198" s="1116"/>
      <c r="O198" s="1116"/>
      <c r="P198" s="1116"/>
      <c r="Q198" s="1116"/>
      <c r="R198" s="1116"/>
      <c r="S198" s="1116"/>
      <c r="T198" s="1116"/>
      <c r="X198" s="323" t="s">
        <v>421</v>
      </c>
      <c r="Y198" s="324"/>
      <c r="Z198" s="323"/>
      <c r="AA198" s="325" t="s">
        <v>431</v>
      </c>
      <c r="AB198" s="326" t="s">
        <v>78</v>
      </c>
      <c r="AC198" s="327"/>
      <c r="AD198" s="327"/>
      <c r="AE198" s="327"/>
      <c r="AF198" s="327"/>
      <c r="AG198" s="328" t="s">
        <v>472</v>
      </c>
      <c r="AH198" s="329">
        <v>15</v>
      </c>
      <c r="AI198" s="330">
        <v>801.81818181818187</v>
      </c>
      <c r="AJ198" s="330">
        <f t="shared" si="111"/>
        <v>12027.272727272728</v>
      </c>
      <c r="AK198" s="331"/>
      <c r="AL198" s="332">
        <v>962.18181818181824</v>
      </c>
      <c r="AM198" s="332">
        <v>962.18181818181824</v>
      </c>
      <c r="AN198" s="332">
        <v>2886.5454545454545</v>
      </c>
      <c r="AO198" s="332">
        <v>1202.7272727272727</v>
      </c>
      <c r="AP198" s="332">
        <v>6013.636363636364</v>
      </c>
      <c r="AQ198" s="333">
        <f t="shared" si="114"/>
        <v>2004.5454545454547</v>
      </c>
      <c r="AR198" s="333">
        <v>2004.5454545454547</v>
      </c>
      <c r="AS198" s="333">
        <v>2004.5454545454547</v>
      </c>
      <c r="AT198" s="333">
        <v>2004.5454545454547</v>
      </c>
      <c r="AU198" s="333">
        <v>2004.5454545454547</v>
      </c>
      <c r="AV198" s="333">
        <v>2004.5454545454547</v>
      </c>
      <c r="AW198" s="334">
        <f t="shared" si="112"/>
        <v>12027.272727272728</v>
      </c>
      <c r="AX198" s="334">
        <f t="shared" si="115"/>
        <v>12027.272727272728</v>
      </c>
      <c r="AY198" s="334">
        <f t="shared" si="113"/>
        <v>0</v>
      </c>
      <c r="AZ198" s="334">
        <f t="shared" si="116"/>
        <v>12027.272727272728</v>
      </c>
      <c r="BA198" s="335"/>
    </row>
    <row r="199" spans="1:53" ht="77.5">
      <c r="A199" s="1116"/>
      <c r="B199" s="1116"/>
      <c r="C199" s="1116"/>
      <c r="D199" s="1116"/>
      <c r="K199" s="1124"/>
      <c r="L199" s="1124"/>
      <c r="M199" s="1116"/>
      <c r="N199" s="1116"/>
      <c r="O199" s="1116"/>
      <c r="P199" s="1116"/>
      <c r="Q199" s="1116"/>
      <c r="R199" s="1116"/>
      <c r="S199" s="1116"/>
      <c r="T199" s="1116"/>
      <c r="X199" s="323" t="s">
        <v>421</v>
      </c>
      <c r="Y199" s="324"/>
      <c r="Z199" s="323"/>
      <c r="AA199" s="325" t="s">
        <v>432</v>
      </c>
      <c r="AB199" s="326" t="s">
        <v>78</v>
      </c>
      <c r="AC199" s="327"/>
      <c r="AD199" s="327"/>
      <c r="AE199" s="327"/>
      <c r="AF199" s="327"/>
      <c r="AG199" s="328" t="s">
        <v>472</v>
      </c>
      <c r="AH199" s="329">
        <v>15</v>
      </c>
      <c r="AI199" s="330">
        <v>781.77272727272725</v>
      </c>
      <c r="AJ199" s="330">
        <f t="shared" si="111"/>
        <v>11726.590909090908</v>
      </c>
      <c r="AK199" s="331"/>
      <c r="AL199" s="332">
        <v>938.12727272727284</v>
      </c>
      <c r="AM199" s="332">
        <v>938.12727272727284</v>
      </c>
      <c r="AN199" s="332">
        <v>2814.3818181818183</v>
      </c>
      <c r="AO199" s="332">
        <v>1172.659090909091</v>
      </c>
      <c r="AP199" s="332">
        <v>5863.295454545455</v>
      </c>
      <c r="AQ199" s="333">
        <f t="shared" si="114"/>
        <v>1954.431818181818</v>
      </c>
      <c r="AR199" s="333">
        <v>1954.431818181818</v>
      </c>
      <c r="AS199" s="333">
        <v>1954.431818181818</v>
      </c>
      <c r="AT199" s="333">
        <v>1954.431818181818</v>
      </c>
      <c r="AU199" s="333">
        <v>1954.431818181818</v>
      </c>
      <c r="AV199" s="333">
        <v>1954.431818181818</v>
      </c>
      <c r="AW199" s="334">
        <f t="shared" si="112"/>
        <v>11726.590909090908</v>
      </c>
      <c r="AX199" s="334">
        <f t="shared" si="115"/>
        <v>11726.590909090908</v>
      </c>
      <c r="AY199" s="334">
        <f t="shared" si="113"/>
        <v>0</v>
      </c>
      <c r="AZ199" s="334">
        <f t="shared" si="116"/>
        <v>11726.590909090908</v>
      </c>
      <c r="BA199" s="335"/>
    </row>
    <row r="200" spans="1:53" ht="77.5">
      <c r="A200" s="1116"/>
      <c r="B200" s="1116"/>
      <c r="C200" s="1116"/>
      <c r="D200" s="1116"/>
      <c r="K200" s="1124"/>
      <c r="L200" s="1124"/>
      <c r="M200" s="1116"/>
      <c r="N200" s="1116"/>
      <c r="O200" s="1116"/>
      <c r="P200" s="1116"/>
      <c r="Q200" s="1116"/>
      <c r="R200" s="1116"/>
      <c r="S200" s="1116"/>
      <c r="T200" s="1116"/>
      <c r="X200" s="323" t="s">
        <v>421</v>
      </c>
      <c r="Y200" s="324"/>
      <c r="Z200" s="323"/>
      <c r="AA200" s="325" t="s">
        <v>433</v>
      </c>
      <c r="AB200" s="325" t="s">
        <v>78</v>
      </c>
      <c r="AC200" s="327"/>
      <c r="AD200" s="327"/>
      <c r="AE200" s="327"/>
      <c r="AF200" s="327"/>
      <c r="AG200" s="328" t="s">
        <v>472</v>
      </c>
      <c r="AH200" s="329">
        <v>15</v>
      </c>
      <c r="AI200" s="330">
        <v>1454.5454545454545</v>
      </c>
      <c r="AJ200" s="330">
        <f t="shared" si="111"/>
        <v>21818.181818181816</v>
      </c>
      <c r="AK200" s="331"/>
      <c r="AL200" s="332">
        <v>3490.9090909090914</v>
      </c>
      <c r="AM200" s="332">
        <v>3490.9090909090914</v>
      </c>
      <c r="AN200" s="332">
        <v>10472.727272727274</v>
      </c>
      <c r="AO200" s="332">
        <v>4363.636363636364</v>
      </c>
      <c r="AP200" s="332">
        <v>0</v>
      </c>
      <c r="AQ200" s="333">
        <f t="shared" si="114"/>
        <v>3636.363636363636</v>
      </c>
      <c r="AR200" s="333">
        <v>3636.363636363636</v>
      </c>
      <c r="AS200" s="333">
        <v>3636.363636363636</v>
      </c>
      <c r="AT200" s="333">
        <v>3636.363636363636</v>
      </c>
      <c r="AU200" s="333">
        <v>3636.363636363636</v>
      </c>
      <c r="AV200" s="333">
        <v>3636.363636363636</v>
      </c>
      <c r="AW200" s="334">
        <f t="shared" si="112"/>
        <v>21818.181818181816</v>
      </c>
      <c r="AX200" s="334">
        <f t="shared" si="115"/>
        <v>21818.181818181816</v>
      </c>
      <c r="AY200" s="334">
        <f t="shared" si="113"/>
        <v>0</v>
      </c>
      <c r="AZ200" s="334">
        <f t="shared" si="116"/>
        <v>21818.181818181816</v>
      </c>
      <c r="BA200" s="335"/>
    </row>
    <row r="201" spans="1:53" ht="77.5">
      <c r="A201" s="1116"/>
      <c r="B201" s="1116"/>
      <c r="C201" s="1116"/>
      <c r="D201" s="1116"/>
      <c r="K201" s="1124"/>
      <c r="L201" s="1124"/>
      <c r="M201" s="1116"/>
      <c r="N201" s="1116"/>
      <c r="O201" s="1116"/>
      <c r="P201" s="1116"/>
      <c r="Q201" s="1116"/>
      <c r="R201" s="1116"/>
      <c r="S201" s="1116"/>
      <c r="T201" s="1116"/>
      <c r="X201" s="323" t="s">
        <v>421</v>
      </c>
      <c r="Y201" s="324"/>
      <c r="Z201" s="323"/>
      <c r="AA201" s="337" t="s">
        <v>434</v>
      </c>
      <c r="AB201" s="325" t="s">
        <v>78</v>
      </c>
      <c r="AC201" s="327"/>
      <c r="AD201" s="327"/>
      <c r="AE201" s="327"/>
      <c r="AF201" s="327"/>
      <c r="AG201" s="328" t="s">
        <v>472</v>
      </c>
      <c r="AH201" s="329">
        <v>15</v>
      </c>
      <c r="AI201" s="330">
        <v>1545.4545454545455</v>
      </c>
      <c r="AJ201" s="330">
        <f t="shared" si="111"/>
        <v>23181.818181818184</v>
      </c>
      <c r="AK201" s="331"/>
      <c r="AL201" s="332">
        <v>3477.272727272727</v>
      </c>
      <c r="AM201" s="332">
        <v>3477.272727272727</v>
      </c>
      <c r="AN201" s="332">
        <v>11590.90909090909</v>
      </c>
      <c r="AO201" s="332">
        <v>4636.363636363636</v>
      </c>
      <c r="AP201" s="332">
        <v>0</v>
      </c>
      <c r="AQ201" s="333">
        <f t="shared" si="114"/>
        <v>3863.636363636364</v>
      </c>
      <c r="AR201" s="333">
        <v>3863.636363636364</v>
      </c>
      <c r="AS201" s="333">
        <v>3863.636363636364</v>
      </c>
      <c r="AT201" s="333">
        <v>3863.636363636364</v>
      </c>
      <c r="AU201" s="333">
        <v>3863.636363636364</v>
      </c>
      <c r="AV201" s="333">
        <v>3863.636363636364</v>
      </c>
      <c r="AW201" s="334">
        <f t="shared" si="112"/>
        <v>23181.818181818184</v>
      </c>
      <c r="AX201" s="334">
        <f t="shared" si="115"/>
        <v>23181.818181818184</v>
      </c>
      <c r="AY201" s="334">
        <f t="shared" si="113"/>
        <v>0</v>
      </c>
      <c r="AZ201" s="334">
        <f t="shared" si="116"/>
        <v>23181.818181818184</v>
      </c>
      <c r="BA201" s="335"/>
    </row>
    <row r="202" spans="1:53" ht="46.5">
      <c r="A202" s="1116"/>
      <c r="B202" s="1116"/>
      <c r="C202" s="1116"/>
      <c r="D202" s="1116"/>
      <c r="K202" s="1124"/>
      <c r="L202" s="1124"/>
      <c r="M202" s="1116"/>
      <c r="N202" s="1116"/>
      <c r="O202" s="1116"/>
      <c r="P202" s="1116"/>
      <c r="Q202" s="1116"/>
      <c r="R202" s="1116"/>
      <c r="S202" s="1116"/>
      <c r="T202" s="1116"/>
      <c r="X202" s="323" t="s">
        <v>421</v>
      </c>
      <c r="Y202" s="324"/>
      <c r="Z202" s="323"/>
      <c r="AA202" s="326" t="s">
        <v>435</v>
      </c>
      <c r="AB202" s="326" t="s">
        <v>78</v>
      </c>
      <c r="AC202" s="327"/>
      <c r="AD202" s="327"/>
      <c r="AE202" s="327"/>
      <c r="AF202" s="327"/>
      <c r="AG202" s="328" t="s">
        <v>472</v>
      </c>
      <c r="AH202" s="329">
        <v>15</v>
      </c>
      <c r="AI202" s="330">
        <v>1050</v>
      </c>
      <c r="AJ202" s="330">
        <f t="shared" si="111"/>
        <v>15750</v>
      </c>
      <c r="AK202" s="331"/>
      <c r="AL202" s="332">
        <v>1260</v>
      </c>
      <c r="AM202" s="332">
        <v>1260</v>
      </c>
      <c r="AN202" s="332">
        <v>3780</v>
      </c>
      <c r="AO202" s="332">
        <v>1575</v>
      </c>
      <c r="AP202" s="332">
        <v>7875</v>
      </c>
      <c r="AQ202" s="333">
        <f t="shared" si="114"/>
        <v>2625</v>
      </c>
      <c r="AR202" s="333">
        <v>2625</v>
      </c>
      <c r="AS202" s="333">
        <v>2625</v>
      </c>
      <c r="AT202" s="333">
        <v>2625</v>
      </c>
      <c r="AU202" s="333">
        <v>2625</v>
      </c>
      <c r="AV202" s="333">
        <v>2625</v>
      </c>
      <c r="AW202" s="334">
        <f t="shared" si="112"/>
        <v>15750</v>
      </c>
      <c r="AX202" s="334">
        <f t="shared" si="115"/>
        <v>15750</v>
      </c>
      <c r="AY202" s="334">
        <f t="shared" si="113"/>
        <v>0</v>
      </c>
      <c r="AZ202" s="334">
        <f t="shared" si="116"/>
        <v>15750</v>
      </c>
      <c r="BA202" s="335"/>
    </row>
    <row r="203" spans="1:53" ht="31">
      <c r="A203" s="1116"/>
      <c r="B203" s="1116"/>
      <c r="C203" s="1116"/>
      <c r="D203" s="1116"/>
      <c r="K203" s="1124"/>
      <c r="L203" s="1124"/>
      <c r="M203" s="1116"/>
      <c r="N203" s="1116"/>
      <c r="O203" s="1116"/>
      <c r="P203" s="1116"/>
      <c r="Q203" s="1116"/>
      <c r="R203" s="1116"/>
      <c r="S203" s="1116"/>
      <c r="T203" s="1116"/>
      <c r="X203" s="323" t="s">
        <v>421</v>
      </c>
      <c r="Y203" s="324"/>
      <c r="Z203" s="323"/>
      <c r="AA203" s="326" t="s">
        <v>436</v>
      </c>
      <c r="AB203" s="326" t="s">
        <v>78</v>
      </c>
      <c r="AC203" s="327"/>
      <c r="AD203" s="327"/>
      <c r="AE203" s="327"/>
      <c r="AF203" s="327"/>
      <c r="AG203" s="328" t="s">
        <v>472</v>
      </c>
      <c r="AH203" s="329">
        <v>15</v>
      </c>
      <c r="AI203" s="330">
        <v>1050</v>
      </c>
      <c r="AJ203" s="330">
        <f t="shared" si="111"/>
        <v>15750</v>
      </c>
      <c r="AK203" s="331"/>
      <c r="AL203" s="332">
        <v>7875</v>
      </c>
      <c r="AM203" s="332">
        <v>1575</v>
      </c>
      <c r="AN203" s="332">
        <v>3150</v>
      </c>
      <c r="AO203" s="332">
        <v>787.5</v>
      </c>
      <c r="AP203" s="332">
        <v>2362.5</v>
      </c>
      <c r="AQ203" s="333">
        <f t="shared" si="114"/>
        <v>2625</v>
      </c>
      <c r="AR203" s="333">
        <v>2625</v>
      </c>
      <c r="AS203" s="333">
        <v>2625</v>
      </c>
      <c r="AT203" s="333">
        <v>2625</v>
      </c>
      <c r="AU203" s="333">
        <v>2625</v>
      </c>
      <c r="AV203" s="333">
        <v>2625</v>
      </c>
      <c r="AW203" s="334">
        <f t="shared" si="112"/>
        <v>15750</v>
      </c>
      <c r="AX203" s="334">
        <f t="shared" si="115"/>
        <v>15750</v>
      </c>
      <c r="AY203" s="334">
        <f t="shared" si="113"/>
        <v>0</v>
      </c>
      <c r="AZ203" s="334">
        <f t="shared" si="116"/>
        <v>15750</v>
      </c>
      <c r="BA203" s="335"/>
    </row>
    <row r="204" spans="1:53" ht="62">
      <c r="A204" s="1116"/>
      <c r="B204" s="1116"/>
      <c r="C204" s="1116"/>
      <c r="D204" s="1116"/>
      <c r="K204" s="1124"/>
      <c r="L204" s="1124"/>
      <c r="M204" s="1116"/>
      <c r="N204" s="1116"/>
      <c r="O204" s="1116"/>
      <c r="P204" s="1116"/>
      <c r="Q204" s="1116"/>
      <c r="R204" s="1116"/>
      <c r="S204" s="1116"/>
      <c r="T204" s="1116"/>
      <c r="X204" s="316"/>
      <c r="Y204" s="317"/>
      <c r="Z204" s="316"/>
      <c r="AA204" s="316" t="s">
        <v>473</v>
      </c>
      <c r="AB204" s="316"/>
      <c r="AC204" s="316"/>
      <c r="AD204" s="316"/>
      <c r="AE204" s="316"/>
      <c r="AF204" s="316"/>
      <c r="AG204" s="318"/>
      <c r="AH204" s="319"/>
      <c r="AI204" s="320"/>
      <c r="AJ204" s="320">
        <f>AJ206+AJ230+AJ244+AJ295</f>
        <v>0</v>
      </c>
      <c r="AK204" s="321"/>
      <c r="AL204" s="320">
        <f t="shared" ref="AL204:BA204" si="117">AL206+AL230+AL244+AL295</f>
        <v>0</v>
      </c>
      <c r="AM204" s="320">
        <f t="shared" si="117"/>
        <v>0</v>
      </c>
      <c r="AN204" s="320">
        <f t="shared" si="117"/>
        <v>0</v>
      </c>
      <c r="AO204" s="320">
        <f t="shared" si="117"/>
        <v>0</v>
      </c>
      <c r="AP204" s="320">
        <f t="shared" si="117"/>
        <v>0</v>
      </c>
      <c r="AQ204" s="320">
        <f t="shared" si="117"/>
        <v>0</v>
      </c>
      <c r="AR204" s="320">
        <f t="shared" si="117"/>
        <v>0</v>
      </c>
      <c r="AS204" s="320">
        <f t="shared" si="117"/>
        <v>0</v>
      </c>
      <c r="AT204" s="320">
        <f t="shared" si="117"/>
        <v>0</v>
      </c>
      <c r="AU204" s="320">
        <f t="shared" si="117"/>
        <v>0</v>
      </c>
      <c r="AV204" s="320">
        <f t="shared" si="117"/>
        <v>0</v>
      </c>
      <c r="AW204" s="320">
        <f t="shared" si="117"/>
        <v>0</v>
      </c>
      <c r="AX204" s="320">
        <f t="shared" si="117"/>
        <v>0</v>
      </c>
      <c r="AY204" s="320">
        <f t="shared" si="117"/>
        <v>0</v>
      </c>
      <c r="AZ204" s="320">
        <f t="shared" si="117"/>
        <v>0</v>
      </c>
      <c r="BA204" s="322">
        <f t="shared" si="117"/>
        <v>0</v>
      </c>
    </row>
  </sheetData>
  <sheetProtection algorithmName="SHA-512" hashValue="ubuKxC4NtaqNLtxflIadi7I1PeXJ0zEJ4x4tGphwmYXDXL0KmxRLSC2pgHHpRwthsLNcz4g6m0B7P5LbgmPnBw==" saltValue="Y5JV2v+B+7weAZQ75gfMuQ==" spinCount="100000" sheet="1" formatCells="0" formatColumns="0" formatRows="0" insertRows="0" deleteRows="0" selectLockedCells="1" sort="0"/>
  <mergeCells count="57">
    <mergeCell ref="R3:R4"/>
    <mergeCell ref="S3:T3"/>
    <mergeCell ref="A8:A17"/>
    <mergeCell ref="Q8:Q16"/>
    <mergeCell ref="R8:R28"/>
    <mergeCell ref="A19:A20"/>
    <mergeCell ref="Q19:Q28"/>
    <mergeCell ref="A21:A25"/>
    <mergeCell ref="A26:A29"/>
    <mergeCell ref="B3:B4"/>
    <mergeCell ref="D3:D4"/>
    <mergeCell ref="N3:N4"/>
    <mergeCell ref="O3:O4"/>
    <mergeCell ref="P3:P4"/>
    <mergeCell ref="Q3:Q4"/>
    <mergeCell ref="A32:A35"/>
    <mergeCell ref="Q32:Q34"/>
    <mergeCell ref="R32:R42"/>
    <mergeCell ref="A37:A40"/>
    <mergeCell ref="Q37:Q42"/>
    <mergeCell ref="A41:A43"/>
    <mergeCell ref="A46:A52"/>
    <mergeCell ref="Q46:Q66"/>
    <mergeCell ref="R46:R93"/>
    <mergeCell ref="A53:A59"/>
    <mergeCell ref="A60:A67"/>
    <mergeCell ref="A69:A73"/>
    <mergeCell ref="Q69:Q83"/>
    <mergeCell ref="A74:A79"/>
    <mergeCell ref="A80:A84"/>
    <mergeCell ref="A86:A89"/>
    <mergeCell ref="AA185:AA186"/>
    <mergeCell ref="Q86:Q93"/>
    <mergeCell ref="A90:A94"/>
    <mergeCell ref="A97:A100"/>
    <mergeCell ref="Q97:Q105"/>
    <mergeCell ref="R97:R126"/>
    <mergeCell ref="A101:A106"/>
    <mergeCell ref="A108:A118"/>
    <mergeCell ref="Q108:Q117"/>
    <mergeCell ref="A120:A127"/>
    <mergeCell ref="Q120:Q126"/>
    <mergeCell ref="A130:A142"/>
    <mergeCell ref="E180:H180"/>
    <mergeCell ref="X185:X186"/>
    <mergeCell ref="Y185:Y186"/>
    <mergeCell ref="Z185:Z186"/>
    <mergeCell ref="AL185:AP185"/>
    <mergeCell ref="AQ185:AW185"/>
    <mergeCell ref="AX185:AZ185"/>
    <mergeCell ref="BA185:BA186"/>
    <mergeCell ref="AB185:AB186"/>
    <mergeCell ref="AC185:AF185"/>
    <mergeCell ref="AG185:AG186"/>
    <mergeCell ref="AH185:AH186"/>
    <mergeCell ref="AI185:AI186"/>
    <mergeCell ref="AJ185:AJ186"/>
  </mergeCells>
  <conditionalFormatting sqref="D8:D15">
    <cfRule type="cellIs" priority="14" operator="greaterThan">
      <formula>0</formula>
    </cfRule>
  </conditionalFormatting>
  <conditionalFormatting sqref="D19">
    <cfRule type="cellIs" priority="9" operator="greaterThan">
      <formula>0</formula>
    </cfRule>
  </conditionalFormatting>
  <conditionalFormatting sqref="D21:D22">
    <cfRule type="cellIs" priority="10" operator="greaterThan">
      <formula>0</formula>
    </cfRule>
  </conditionalFormatting>
  <conditionalFormatting sqref="D26:D27">
    <cfRule type="cellIs" priority="8" operator="greaterThan">
      <formula>0</formula>
    </cfRule>
  </conditionalFormatting>
  <conditionalFormatting sqref="D32">
    <cfRule type="cellIs" priority="13" operator="greaterThan">
      <formula>0</formula>
    </cfRule>
  </conditionalFormatting>
  <conditionalFormatting sqref="D37">
    <cfRule type="cellIs" priority="12" operator="greaterThan">
      <formula>0</formula>
    </cfRule>
  </conditionalFormatting>
  <conditionalFormatting sqref="D41">
    <cfRule type="cellIs" priority="7" operator="greaterThan">
      <formula>0</formula>
    </cfRule>
  </conditionalFormatting>
  <conditionalFormatting sqref="D46">
    <cfRule type="cellIs" priority="18" operator="greaterThan">
      <formula>0</formula>
    </cfRule>
  </conditionalFormatting>
  <conditionalFormatting sqref="D53">
    <cfRule type="cellIs" priority="17" operator="greaterThan">
      <formula>0</formula>
    </cfRule>
  </conditionalFormatting>
  <conditionalFormatting sqref="D60">
    <cfRule type="cellIs" priority="6" operator="greaterThan">
      <formula>0</formula>
    </cfRule>
  </conditionalFormatting>
  <conditionalFormatting sqref="D69:D70">
    <cfRule type="cellIs" priority="11" operator="greaterThan">
      <formula>0</formula>
    </cfRule>
  </conditionalFormatting>
  <conditionalFormatting sqref="D74:D76">
    <cfRule type="cellIs" priority="16" operator="greaterThan">
      <formula>0</formula>
    </cfRule>
  </conditionalFormatting>
  <conditionalFormatting sqref="D80:D81">
    <cfRule type="cellIs" priority="5" operator="greaterThan">
      <formula>0</formula>
    </cfRule>
  </conditionalFormatting>
  <conditionalFormatting sqref="D86:D87">
    <cfRule type="cellIs" priority="4" operator="greaterThan">
      <formula>0</formula>
    </cfRule>
  </conditionalFormatting>
  <conditionalFormatting sqref="D90:D91">
    <cfRule type="cellIs" priority="3" operator="greaterThan">
      <formula>0</formula>
    </cfRule>
  </conditionalFormatting>
  <conditionalFormatting sqref="D97">
    <cfRule type="cellIs" priority="19" operator="greaterThan">
      <formula>0</formula>
    </cfRule>
  </conditionalFormatting>
  <conditionalFormatting sqref="D101:D103">
    <cfRule type="cellIs" priority="15" operator="greaterThan">
      <formula>0</formula>
    </cfRule>
  </conditionalFormatting>
  <conditionalFormatting sqref="D108:D115">
    <cfRule type="cellIs" priority="2" operator="greaterThan">
      <formula>0</formula>
    </cfRule>
  </conditionalFormatting>
  <conditionalFormatting sqref="D120:D126">
    <cfRule type="cellIs" priority="1" operator="greaterThan">
      <formula>0</formula>
    </cfRule>
  </conditionalFormatting>
  <pageMargins left="0.75" right="0.75" top="1" bottom="1" header="0.5" footer="0.5"/>
  <pageSetup orientation="portrait" horizont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5358-BDAF-4824-A20C-D8EB1315D738}">
  <sheetPr>
    <tabColor rgb="FFFFFFCC"/>
  </sheetPr>
  <dimension ref="A1:BA204"/>
  <sheetViews>
    <sheetView zoomScale="90" zoomScaleNormal="90" workbookViewId="0">
      <pane xSplit="1" ySplit="4" topLeftCell="B123" activePane="bottomRight" state="frozen"/>
      <selection pane="topRight" activeCell="B1" sqref="B1"/>
      <selection pane="bottomLeft" activeCell="A5" sqref="A5"/>
      <selection pane="bottomRight" activeCell="D32" sqref="D32"/>
    </sheetView>
  </sheetViews>
  <sheetFormatPr defaultColWidth="9.08984375" defaultRowHeight="14.5"/>
  <cols>
    <col min="1" max="1" width="34.90625" style="5" customWidth="1"/>
    <col min="2" max="2" width="5.7265625" style="5" customWidth="1"/>
    <col min="3" max="3" width="79.08984375" style="5" customWidth="1"/>
    <col min="4" max="4" width="17.6328125" style="5" customWidth="1"/>
    <col min="5" max="8" width="5.08984375" style="6" customWidth="1"/>
    <col min="9" max="9" width="10.36328125" style="6" customWidth="1"/>
    <col min="10" max="10" width="9.36328125" style="6" customWidth="1"/>
    <col min="11" max="11" width="12.08984375" style="7" customWidth="1"/>
    <col min="12" max="12" width="7.7265625" style="7" customWidth="1"/>
    <col min="13" max="13" width="15.7265625" style="5" customWidth="1"/>
    <col min="14" max="14" width="11" style="5" customWidth="1"/>
    <col min="15" max="15" width="12.90625" style="5" customWidth="1"/>
    <col min="16" max="16" width="17.7265625" style="5" customWidth="1"/>
    <col min="17" max="18" width="20.36328125" style="5" customWidth="1"/>
    <col min="19" max="19" width="24.08984375" style="5" customWidth="1"/>
    <col min="20" max="20" width="16.90625" style="5" customWidth="1"/>
  </cols>
  <sheetData>
    <row r="1" spans="1:20" ht="21.5" thickBot="1">
      <c r="A1" s="188" t="s">
        <v>474</v>
      </c>
      <c r="B1" s="54"/>
      <c r="C1" s="1106"/>
      <c r="D1" s="1106"/>
      <c r="E1" s="55"/>
      <c r="F1" s="55"/>
      <c r="G1" s="55"/>
      <c r="H1" s="55"/>
      <c r="I1" s="55"/>
      <c r="J1" s="55"/>
      <c r="K1" s="1107"/>
      <c r="L1" s="1107"/>
      <c r="M1" s="1106"/>
      <c r="N1" s="1106"/>
      <c r="O1" s="1106"/>
      <c r="P1" s="1106"/>
      <c r="Q1" s="1106"/>
      <c r="R1" s="1106"/>
      <c r="S1" s="1106"/>
      <c r="T1" s="1106"/>
    </row>
    <row r="2" spans="1:20" ht="21.5" thickBot="1">
      <c r="A2" s="1108"/>
      <c r="B2" s="145" t="s">
        <v>232</v>
      </c>
      <c r="C2" s="146"/>
      <c r="D2" s="146"/>
      <c r="E2" s="147"/>
      <c r="F2" s="147"/>
      <c r="G2" s="147"/>
      <c r="H2" s="147"/>
      <c r="I2" s="147"/>
      <c r="J2" s="147"/>
      <c r="K2" s="146"/>
      <c r="L2" s="146"/>
      <c r="M2" s="146"/>
      <c r="N2" s="148"/>
      <c r="O2" s="149" t="s">
        <v>233</v>
      </c>
      <c r="P2" s="150"/>
      <c r="Q2" s="150"/>
      <c r="R2" s="150"/>
      <c r="S2" s="150"/>
      <c r="T2" s="151"/>
    </row>
    <row r="3" spans="1:20" ht="31">
      <c r="A3" s="245" t="s">
        <v>234</v>
      </c>
      <c r="B3" s="1324" t="s">
        <v>235</v>
      </c>
      <c r="C3" s="246" t="s">
        <v>236</v>
      </c>
      <c r="D3" s="1326" t="s">
        <v>237</v>
      </c>
      <c r="E3" s="143" t="s">
        <v>238</v>
      </c>
      <c r="F3" s="144"/>
      <c r="G3" s="144"/>
      <c r="H3" s="355"/>
      <c r="I3" s="144" t="s">
        <v>239</v>
      </c>
      <c r="J3" s="144"/>
      <c r="K3" s="247"/>
      <c r="L3" s="138" t="s">
        <v>240</v>
      </c>
      <c r="M3" s="138" t="s">
        <v>241</v>
      </c>
      <c r="N3" s="1328" t="s">
        <v>242</v>
      </c>
      <c r="O3" s="1330" t="s">
        <v>243</v>
      </c>
      <c r="P3" s="1332" t="s">
        <v>244</v>
      </c>
      <c r="Q3" s="1334" t="s">
        <v>245</v>
      </c>
      <c r="R3" s="1306" t="s">
        <v>246</v>
      </c>
      <c r="S3" s="1308" t="s">
        <v>247</v>
      </c>
      <c r="T3" s="1309"/>
    </row>
    <row r="4" spans="1:20" ht="25.5" customHeight="1">
      <c r="A4" s="248"/>
      <c r="B4" s="1325"/>
      <c r="C4" s="249"/>
      <c r="D4" s="1327"/>
      <c r="E4" s="71" t="s">
        <v>248</v>
      </c>
      <c r="F4" s="72" t="s">
        <v>249</v>
      </c>
      <c r="G4" s="71" t="s">
        <v>250</v>
      </c>
      <c r="H4" s="72" t="s">
        <v>251</v>
      </c>
      <c r="I4" s="354" t="s">
        <v>252</v>
      </c>
      <c r="J4" s="354" t="s">
        <v>253</v>
      </c>
      <c r="K4" s="122" t="s">
        <v>4</v>
      </c>
      <c r="L4" s="121" t="s">
        <v>254</v>
      </c>
      <c r="M4" s="73" t="s">
        <v>255</v>
      </c>
      <c r="N4" s="1329"/>
      <c r="O4" s="1331"/>
      <c r="P4" s="1333"/>
      <c r="Q4" s="1335"/>
      <c r="R4" s="1307"/>
      <c r="S4" s="193" t="s">
        <v>256</v>
      </c>
      <c r="T4" s="194" t="s">
        <v>257</v>
      </c>
    </row>
    <row r="5" spans="1:20" ht="35.25" customHeight="1">
      <c r="A5" s="309" t="s">
        <v>258</v>
      </c>
      <c r="B5" s="310"/>
      <c r="C5" s="310"/>
      <c r="D5" s="74"/>
      <c r="E5" s="74"/>
      <c r="F5" s="74"/>
      <c r="G5" s="74"/>
      <c r="H5" s="74"/>
      <c r="I5" s="75">
        <f>I6+I30+I44+I95</f>
        <v>9000</v>
      </c>
      <c r="J5" s="75">
        <f>J6+J30+J44+J95</f>
        <v>736909.90909090906</v>
      </c>
      <c r="K5" s="75">
        <f>K6+K30+K44+K95</f>
        <v>745909.90909090906</v>
      </c>
      <c r="L5" s="135"/>
      <c r="M5" s="76"/>
      <c r="N5" s="77"/>
      <c r="O5" s="78"/>
      <c r="P5" s="76"/>
      <c r="Q5" s="76"/>
      <c r="R5" s="79"/>
      <c r="S5" s="349">
        <f>S6+S30+S44+S95</f>
        <v>0</v>
      </c>
      <c r="T5" s="80">
        <f>T6+T30+T44+T95</f>
        <v>162126.39999999999</v>
      </c>
    </row>
    <row r="6" spans="1:20" ht="35.25" customHeight="1">
      <c r="A6" s="339" t="s">
        <v>114</v>
      </c>
      <c r="B6" s="340"/>
      <c r="C6" s="340"/>
      <c r="D6" s="340"/>
      <c r="E6" s="340"/>
      <c r="F6" s="340"/>
      <c r="G6" s="340"/>
      <c r="H6" s="341"/>
      <c r="I6" s="387">
        <f t="shared" ref="I6:J6" si="0">I7+I18</f>
        <v>0</v>
      </c>
      <c r="J6" s="388">
        <f t="shared" si="0"/>
        <v>177864.45454545453</v>
      </c>
      <c r="K6" s="386">
        <f>K7+K18</f>
        <v>177864.45454545453</v>
      </c>
      <c r="L6" s="342"/>
      <c r="M6" s="343"/>
      <c r="N6" s="344"/>
      <c r="O6" s="345"/>
      <c r="P6" s="346"/>
      <c r="Q6" s="346"/>
      <c r="R6" s="347"/>
      <c r="S6" s="350">
        <f>S7+S18</f>
        <v>0</v>
      </c>
      <c r="T6" s="348">
        <f>T7+T18</f>
        <v>8716.83</v>
      </c>
    </row>
    <row r="7" spans="1:20" ht="30.75" customHeight="1">
      <c r="A7" s="360" t="s">
        <v>259</v>
      </c>
      <c r="B7" s="361"/>
      <c r="C7" s="361"/>
      <c r="D7" s="362"/>
      <c r="E7" s="363" t="s">
        <v>248</v>
      </c>
      <c r="F7" s="364" t="s">
        <v>249</v>
      </c>
      <c r="G7" s="364" t="s">
        <v>250</v>
      </c>
      <c r="H7" s="365" t="s">
        <v>251</v>
      </c>
      <c r="I7" s="389">
        <f t="shared" ref="I7:J7" si="1">I17</f>
        <v>0</v>
      </c>
      <c r="J7" s="384">
        <f t="shared" si="1"/>
        <v>42014.454545454544</v>
      </c>
      <c r="K7" s="385">
        <f>K17</f>
        <v>42014.454545454544</v>
      </c>
      <c r="L7" s="366"/>
      <c r="M7" s="367"/>
      <c r="N7" s="368"/>
      <c r="O7" s="369"/>
      <c r="P7" s="370"/>
      <c r="Q7" s="371"/>
      <c r="R7" s="372"/>
      <c r="S7" s="373">
        <f>S17</f>
        <v>0</v>
      </c>
      <c r="T7" s="374">
        <f>T17</f>
        <v>5891.91</v>
      </c>
    </row>
    <row r="8" spans="1:20" ht="31.5" customHeight="1">
      <c r="A8" s="1301" t="s">
        <v>260</v>
      </c>
      <c r="B8" s="168">
        <v>1</v>
      </c>
      <c r="C8" s="180" t="s">
        <v>261</v>
      </c>
      <c r="D8" s="190"/>
      <c r="E8" s="56"/>
      <c r="F8" s="56"/>
      <c r="G8" s="56"/>
      <c r="H8" s="304"/>
      <c r="I8" s="356">
        <v>0</v>
      </c>
      <c r="J8" s="356">
        <v>0</v>
      </c>
      <c r="K8" s="357">
        <f>I8+J8</f>
        <v>0</v>
      </c>
      <c r="L8" s="182"/>
      <c r="M8" s="110"/>
      <c r="N8" s="172">
        <v>0</v>
      </c>
      <c r="O8" s="58">
        <v>0</v>
      </c>
      <c r="P8" s="108" t="str">
        <f>IF(N8,MIN(1,O8/N8),"")</f>
        <v/>
      </c>
      <c r="Q8" s="1312"/>
      <c r="R8" s="1314"/>
      <c r="S8" s="57"/>
      <c r="T8" s="257">
        <v>0</v>
      </c>
    </row>
    <row r="9" spans="1:20" ht="31.5" customHeight="1">
      <c r="A9" s="1302"/>
      <c r="B9" s="353">
        <f>B8+1</f>
        <v>2</v>
      </c>
      <c r="C9" s="181" t="s">
        <v>262</v>
      </c>
      <c r="D9" s="191"/>
      <c r="E9" s="56"/>
      <c r="F9" s="56"/>
      <c r="G9" s="56"/>
      <c r="H9" s="304"/>
      <c r="I9" s="356">
        <v>0</v>
      </c>
      <c r="J9" s="356">
        <v>4000</v>
      </c>
      <c r="K9" s="357">
        <f>I9+J9</f>
        <v>4000</v>
      </c>
      <c r="L9" s="183"/>
      <c r="M9" s="110"/>
      <c r="N9" s="172">
        <v>2</v>
      </c>
      <c r="O9" s="58">
        <v>1</v>
      </c>
      <c r="P9" s="108">
        <f t="shared" ref="P9:P15" si="2">IF(N9,MIN(1,O9/N9),"")</f>
        <v>0.5</v>
      </c>
      <c r="Q9" s="1313"/>
      <c r="R9" s="1315"/>
      <c r="S9" s="57"/>
      <c r="T9" s="257">
        <v>1193.69</v>
      </c>
    </row>
    <row r="10" spans="1:20" ht="31.5" customHeight="1">
      <c r="A10" s="1302"/>
      <c r="B10" s="353">
        <f t="shared" ref="B10:B16" si="3">B9+1</f>
        <v>3</v>
      </c>
      <c r="C10" s="181" t="s">
        <v>263</v>
      </c>
      <c r="D10" s="191"/>
      <c r="E10" s="56"/>
      <c r="F10" s="56"/>
      <c r="G10" s="56"/>
      <c r="H10" s="304"/>
      <c r="I10" s="356">
        <v>0</v>
      </c>
      <c r="J10" s="356">
        <v>3000</v>
      </c>
      <c r="K10" s="357">
        <f t="shared" ref="K10:K16" si="4">I10+J10</f>
        <v>3000</v>
      </c>
      <c r="L10" s="183"/>
      <c r="M10" s="110"/>
      <c r="N10" s="172">
        <v>2</v>
      </c>
      <c r="O10" s="58">
        <v>0</v>
      </c>
      <c r="P10" s="108">
        <f t="shared" si="2"/>
        <v>0</v>
      </c>
      <c r="Q10" s="1313"/>
      <c r="R10" s="1315"/>
      <c r="S10" s="57"/>
      <c r="T10" s="257"/>
    </row>
    <row r="11" spans="1:20" ht="31.5" customHeight="1">
      <c r="A11" s="1302"/>
      <c r="B11" s="353">
        <f t="shared" si="3"/>
        <v>4</v>
      </c>
      <c r="C11" s="181" t="s">
        <v>264</v>
      </c>
      <c r="D11" s="191"/>
      <c r="E11" s="56"/>
      <c r="F11" s="56"/>
      <c r="G11" s="56"/>
      <c r="H11" s="304"/>
      <c r="I11" s="356">
        <v>0</v>
      </c>
      <c r="J11" s="356">
        <v>3000</v>
      </c>
      <c r="K11" s="357">
        <f t="shared" si="4"/>
        <v>3000</v>
      </c>
      <c r="L11" s="183"/>
      <c r="M11" s="110"/>
      <c r="N11" s="172">
        <v>1</v>
      </c>
      <c r="O11" s="58">
        <v>0</v>
      </c>
      <c r="P11" s="108">
        <f t="shared" si="2"/>
        <v>0</v>
      </c>
      <c r="Q11" s="1313"/>
      <c r="R11" s="1315"/>
      <c r="S11" s="57"/>
      <c r="T11" s="257"/>
    </row>
    <row r="12" spans="1:20" ht="31.5" customHeight="1">
      <c r="A12" s="1302"/>
      <c r="B12" s="353">
        <f t="shared" si="3"/>
        <v>5</v>
      </c>
      <c r="C12" s="181" t="s">
        <v>265</v>
      </c>
      <c r="D12" s="191"/>
      <c r="E12" s="56"/>
      <c r="F12" s="56"/>
      <c r="G12" s="56"/>
      <c r="H12" s="304"/>
      <c r="I12" s="356">
        <v>0</v>
      </c>
      <c r="J12" s="356">
        <v>2000</v>
      </c>
      <c r="K12" s="357">
        <f t="shared" si="4"/>
        <v>2000</v>
      </c>
      <c r="L12" s="183"/>
      <c r="M12" s="110"/>
      <c r="N12" s="172">
        <v>1</v>
      </c>
      <c r="O12" s="58">
        <v>0</v>
      </c>
      <c r="P12" s="108">
        <f t="shared" si="2"/>
        <v>0</v>
      </c>
      <c r="Q12" s="1313"/>
      <c r="R12" s="1315"/>
      <c r="S12" s="57"/>
      <c r="T12" s="257">
        <v>333.84</v>
      </c>
    </row>
    <row r="13" spans="1:20" ht="31.5" customHeight="1">
      <c r="A13" s="1302"/>
      <c r="B13" s="353">
        <f t="shared" si="3"/>
        <v>6</v>
      </c>
      <c r="C13" s="181" t="s">
        <v>266</v>
      </c>
      <c r="D13" s="191"/>
      <c r="E13" s="56"/>
      <c r="F13" s="56"/>
      <c r="G13" s="56"/>
      <c r="H13" s="304"/>
      <c r="I13" s="356">
        <v>0</v>
      </c>
      <c r="J13" s="356">
        <v>5000</v>
      </c>
      <c r="K13" s="357">
        <f t="shared" si="4"/>
        <v>5000</v>
      </c>
      <c r="L13" s="183"/>
      <c r="M13" s="110"/>
      <c r="N13" s="172">
        <v>10</v>
      </c>
      <c r="O13" s="58">
        <v>1</v>
      </c>
      <c r="P13" s="108">
        <f t="shared" si="2"/>
        <v>0.1</v>
      </c>
      <c r="Q13" s="1313"/>
      <c r="R13" s="1315"/>
      <c r="S13" s="57"/>
      <c r="T13" s="257"/>
    </row>
    <row r="14" spans="1:20" ht="31.5" customHeight="1">
      <c r="A14" s="1302"/>
      <c r="B14" s="353">
        <f t="shared" si="3"/>
        <v>7</v>
      </c>
      <c r="C14" s="181" t="s">
        <v>267</v>
      </c>
      <c r="D14" s="191"/>
      <c r="E14" s="56"/>
      <c r="F14" s="56"/>
      <c r="G14" s="56"/>
      <c r="H14" s="304"/>
      <c r="I14" s="356">
        <v>0</v>
      </c>
      <c r="J14" s="356">
        <v>15969</v>
      </c>
      <c r="K14" s="357">
        <f t="shared" si="4"/>
        <v>15969</v>
      </c>
      <c r="L14" s="183"/>
      <c r="M14" s="110"/>
      <c r="N14" s="172">
        <v>1</v>
      </c>
      <c r="O14" s="58">
        <v>0</v>
      </c>
      <c r="P14" s="108">
        <f t="shared" si="2"/>
        <v>0</v>
      </c>
      <c r="Q14" s="1313"/>
      <c r="R14" s="1315"/>
      <c r="S14" s="57"/>
      <c r="T14" s="257"/>
    </row>
    <row r="15" spans="1:20" ht="31.5" customHeight="1">
      <c r="A15" s="1302"/>
      <c r="B15" s="353">
        <f t="shared" si="3"/>
        <v>8</v>
      </c>
      <c r="C15" s="181" t="s">
        <v>268</v>
      </c>
      <c r="D15" s="191"/>
      <c r="E15" s="56"/>
      <c r="F15" s="56"/>
      <c r="G15" s="56"/>
      <c r="H15" s="304"/>
      <c r="I15" s="356">
        <v>0</v>
      </c>
      <c r="J15" s="356">
        <v>3000</v>
      </c>
      <c r="K15" s="357">
        <f t="shared" si="4"/>
        <v>3000</v>
      </c>
      <c r="L15" s="183"/>
      <c r="M15" s="110"/>
      <c r="N15" s="172">
        <v>2</v>
      </c>
      <c r="O15" s="58">
        <v>2</v>
      </c>
      <c r="P15" s="108">
        <f t="shared" si="2"/>
        <v>1</v>
      </c>
      <c r="Q15" s="1313"/>
      <c r="R15" s="1315"/>
      <c r="S15" s="57"/>
      <c r="T15" s="257">
        <v>2741.76</v>
      </c>
    </row>
    <row r="16" spans="1:20" ht="31.5" customHeight="1">
      <c r="A16" s="1310"/>
      <c r="B16" s="353">
        <f t="shared" si="3"/>
        <v>9</v>
      </c>
      <c r="C16" s="181" t="s">
        <v>269</v>
      </c>
      <c r="D16" s="191"/>
      <c r="E16" s="56"/>
      <c r="F16" s="56"/>
      <c r="G16" s="56"/>
      <c r="H16" s="304"/>
      <c r="I16" s="356">
        <v>0</v>
      </c>
      <c r="J16" s="356">
        <v>6045.454545454545</v>
      </c>
      <c r="K16" s="357">
        <f t="shared" si="4"/>
        <v>6045.454545454545</v>
      </c>
      <c r="L16" s="183"/>
      <c r="M16" s="110"/>
      <c r="N16" s="172">
        <v>1</v>
      </c>
      <c r="O16" s="58">
        <v>1</v>
      </c>
      <c r="P16" s="108">
        <f t="shared" ref="P16" si="5">IF(N16,MIN(1,O16/N16),"")</f>
        <v>1</v>
      </c>
      <c r="Q16" s="1313"/>
      <c r="R16" s="1315"/>
      <c r="S16" s="57"/>
      <c r="T16" s="257">
        <v>1622.62</v>
      </c>
    </row>
    <row r="17" spans="1:20">
      <c r="A17" s="1311"/>
      <c r="B17" s="65"/>
      <c r="C17" s="66"/>
      <c r="D17" s="189"/>
      <c r="E17" s="67"/>
      <c r="F17" s="67"/>
      <c r="G17" s="67"/>
      <c r="H17" s="66"/>
      <c r="I17" s="359">
        <f t="shared" ref="I17:J17" si="6">SUM(I8:I16)</f>
        <v>0</v>
      </c>
      <c r="J17" s="359">
        <f t="shared" si="6"/>
        <v>42014.454545454544</v>
      </c>
      <c r="K17" s="358">
        <f>SUM(K8:K16)</f>
        <v>42014.454545454544</v>
      </c>
      <c r="L17" s="139"/>
      <c r="M17" s="111"/>
      <c r="N17" s="173">
        <f>SUM(N8:N16)</f>
        <v>20</v>
      </c>
      <c r="O17" s="68">
        <f>SUM(O8:O16)</f>
        <v>5</v>
      </c>
      <c r="P17" s="69">
        <f>IFERROR(AVERAGE(P8:P16),"")</f>
        <v>0.32500000000000001</v>
      </c>
      <c r="Q17" s="380">
        <f>IFERROR(AVERAGE(P8:P16),"")</f>
        <v>0.32500000000000001</v>
      </c>
      <c r="R17" s="1315"/>
      <c r="S17" s="352">
        <f>SUM(S8:S16)</f>
        <v>0</v>
      </c>
      <c r="T17" s="70">
        <f>SUM(T8:T16)</f>
        <v>5891.91</v>
      </c>
    </row>
    <row r="18" spans="1:20" ht="30.75" customHeight="1">
      <c r="A18" s="360" t="s">
        <v>270</v>
      </c>
      <c r="B18" s="361"/>
      <c r="C18" s="361"/>
      <c r="D18" s="362"/>
      <c r="E18" s="363" t="s">
        <v>248</v>
      </c>
      <c r="F18" s="364" t="s">
        <v>249</v>
      </c>
      <c r="G18" s="364" t="s">
        <v>250</v>
      </c>
      <c r="H18" s="365" t="s">
        <v>251</v>
      </c>
      <c r="I18" s="389">
        <f t="shared" ref="I18:J18" si="7">I20+I25+I29</f>
        <v>0</v>
      </c>
      <c r="J18" s="384">
        <f t="shared" si="7"/>
        <v>135850</v>
      </c>
      <c r="K18" s="385">
        <f>K20+K25+K29</f>
        <v>135850</v>
      </c>
      <c r="L18" s="366"/>
      <c r="M18" s="367"/>
      <c r="N18" s="368"/>
      <c r="O18" s="369"/>
      <c r="P18" s="370"/>
      <c r="Q18" s="371"/>
      <c r="R18" s="1315"/>
      <c r="S18" s="373">
        <f t="shared" ref="S18:T18" si="8">S20+S25+S29</f>
        <v>0</v>
      </c>
      <c r="T18" s="374">
        <f t="shared" si="8"/>
        <v>2824.92</v>
      </c>
    </row>
    <row r="19" spans="1:20" ht="31.5" customHeight="1">
      <c r="A19" s="1317" t="s">
        <v>271</v>
      </c>
      <c r="B19" s="168">
        <f>B16+1</f>
        <v>10</v>
      </c>
      <c r="C19" s="180" t="s">
        <v>272</v>
      </c>
      <c r="D19" s="190"/>
      <c r="E19" s="56"/>
      <c r="F19" s="56"/>
      <c r="G19" s="56"/>
      <c r="H19" s="304"/>
      <c r="I19" s="356">
        <v>0</v>
      </c>
      <c r="J19" s="356">
        <v>12000</v>
      </c>
      <c r="K19" s="357">
        <f>I19+J19</f>
        <v>12000</v>
      </c>
      <c r="L19" s="182"/>
      <c r="M19" s="110"/>
      <c r="N19" s="172">
        <v>12</v>
      </c>
      <c r="O19" s="58">
        <v>0</v>
      </c>
      <c r="P19" s="376">
        <f>IF(N19,MIN(1,O19/N19),"")</f>
        <v>0</v>
      </c>
      <c r="Q19" s="1318"/>
      <c r="R19" s="1315"/>
      <c r="S19" s="57"/>
      <c r="T19" s="257"/>
    </row>
    <row r="20" spans="1:20">
      <c r="A20" s="1311"/>
      <c r="B20" s="65"/>
      <c r="C20" s="66"/>
      <c r="D20" s="189"/>
      <c r="E20" s="67"/>
      <c r="F20" s="67"/>
      <c r="G20" s="67"/>
      <c r="H20" s="66"/>
      <c r="I20" s="359">
        <f t="shared" ref="I20:J20" si="9">SUM(I19:I19)</f>
        <v>0</v>
      </c>
      <c r="J20" s="359">
        <f t="shared" si="9"/>
        <v>12000</v>
      </c>
      <c r="K20" s="123">
        <f>SUM(K19:K19)</f>
        <v>12000</v>
      </c>
      <c r="L20" s="139"/>
      <c r="M20" s="111"/>
      <c r="N20" s="173">
        <f>SUM(N19:N19)</f>
        <v>12</v>
      </c>
      <c r="O20" s="68">
        <f>SUM(O19:O19)</f>
        <v>0</v>
      </c>
      <c r="P20" s="377">
        <f>IFERROR(AVERAGE(P19:P19),"")</f>
        <v>0</v>
      </c>
      <c r="Q20" s="1319"/>
      <c r="R20" s="1315"/>
      <c r="S20" s="352">
        <f>SUM(S19:S19)</f>
        <v>0</v>
      </c>
      <c r="T20" s="70">
        <f>SUM(T19:T19)</f>
        <v>0</v>
      </c>
    </row>
    <row r="21" spans="1:20" ht="31.5" customHeight="1">
      <c r="A21" s="1321" t="s">
        <v>273</v>
      </c>
      <c r="B21" s="168">
        <f>B19+1</f>
        <v>11</v>
      </c>
      <c r="C21" s="180" t="s">
        <v>274</v>
      </c>
      <c r="D21" s="190"/>
      <c r="E21" s="59"/>
      <c r="F21" s="59"/>
      <c r="G21" s="59"/>
      <c r="H21" s="305"/>
      <c r="I21" s="356">
        <v>0</v>
      </c>
      <c r="J21" s="356">
        <v>0</v>
      </c>
      <c r="K21" s="357">
        <f t="shared" ref="K21:K24" si="10">I21+J21</f>
        <v>0</v>
      </c>
      <c r="L21" s="182"/>
      <c r="M21" s="112"/>
      <c r="N21" s="174">
        <v>0</v>
      </c>
      <c r="O21" s="58">
        <v>0</v>
      </c>
      <c r="P21" s="108" t="str">
        <f t="shared" ref="P21:P24" si="11">IF(N21,MIN(1,O21/N21),"")</f>
        <v/>
      </c>
      <c r="Q21" s="1319"/>
      <c r="R21" s="1315"/>
      <c r="S21" s="57"/>
      <c r="T21" s="258"/>
    </row>
    <row r="22" spans="1:20" ht="31.5" customHeight="1">
      <c r="A22" s="1322"/>
      <c r="B22" s="353">
        <f>B21+1</f>
        <v>12</v>
      </c>
      <c r="C22" s="181" t="s">
        <v>275</v>
      </c>
      <c r="D22" s="191"/>
      <c r="E22" s="61"/>
      <c r="F22" s="61"/>
      <c r="G22" s="61"/>
      <c r="H22" s="60"/>
      <c r="I22" s="356">
        <v>0</v>
      </c>
      <c r="J22" s="356"/>
      <c r="K22" s="357">
        <f t="shared" si="10"/>
        <v>0</v>
      </c>
      <c r="L22" s="183"/>
      <c r="M22" s="110"/>
      <c r="N22" s="172">
        <v>0</v>
      </c>
      <c r="O22" s="58">
        <v>0</v>
      </c>
      <c r="P22" s="108" t="str">
        <f t="shared" si="11"/>
        <v/>
      </c>
      <c r="Q22" s="1319"/>
      <c r="R22" s="1315"/>
      <c r="S22" s="57"/>
      <c r="T22" s="257"/>
    </row>
    <row r="23" spans="1:20" ht="31.5" customHeight="1">
      <c r="A23" s="1322"/>
      <c r="B23" s="353">
        <f t="shared" ref="B23:B24" si="12">B22+1</f>
        <v>13</v>
      </c>
      <c r="C23" s="181" t="s">
        <v>276</v>
      </c>
      <c r="D23" s="191"/>
      <c r="E23" s="61"/>
      <c r="F23" s="61"/>
      <c r="G23" s="55"/>
      <c r="H23" s="306"/>
      <c r="I23" s="356">
        <v>0</v>
      </c>
      <c r="J23" s="356">
        <v>1500</v>
      </c>
      <c r="K23" s="357">
        <f t="shared" si="10"/>
        <v>1500</v>
      </c>
      <c r="L23" s="183"/>
      <c r="M23" s="110"/>
      <c r="N23" s="172">
        <v>1</v>
      </c>
      <c r="O23" s="58">
        <v>1</v>
      </c>
      <c r="P23" s="108">
        <f t="shared" si="11"/>
        <v>1</v>
      </c>
      <c r="Q23" s="1319"/>
      <c r="R23" s="1315"/>
      <c r="S23" s="57"/>
      <c r="T23" s="257">
        <v>1320.73</v>
      </c>
    </row>
    <row r="24" spans="1:20" ht="31.5" customHeight="1">
      <c r="A24" s="1322"/>
      <c r="B24" s="353">
        <f t="shared" si="12"/>
        <v>14</v>
      </c>
      <c r="C24" s="181" t="s">
        <v>277</v>
      </c>
      <c r="D24" s="192"/>
      <c r="E24" s="61"/>
      <c r="F24" s="61"/>
      <c r="G24" s="55"/>
      <c r="H24" s="306"/>
      <c r="I24" s="356">
        <v>0</v>
      </c>
      <c r="J24" s="356">
        <v>1500</v>
      </c>
      <c r="K24" s="357">
        <f t="shared" si="10"/>
        <v>1500</v>
      </c>
      <c r="L24" s="184"/>
      <c r="M24" s="110"/>
      <c r="N24" s="174">
        <v>1</v>
      </c>
      <c r="O24" s="58">
        <v>1</v>
      </c>
      <c r="P24" s="108">
        <f t="shared" si="11"/>
        <v>1</v>
      </c>
      <c r="Q24" s="1319"/>
      <c r="R24" s="1315"/>
      <c r="S24" s="57"/>
      <c r="T24" s="257">
        <v>1504.19</v>
      </c>
    </row>
    <row r="25" spans="1:20">
      <c r="A25" s="1323"/>
      <c r="B25" s="65"/>
      <c r="C25" s="66"/>
      <c r="D25" s="67"/>
      <c r="E25" s="67"/>
      <c r="F25" s="67"/>
      <c r="G25" s="67"/>
      <c r="H25" s="66"/>
      <c r="I25" s="359">
        <f t="shared" ref="I25:J25" si="13">SUM(I21:I24)</f>
        <v>0</v>
      </c>
      <c r="J25" s="359">
        <f t="shared" si="13"/>
        <v>3000</v>
      </c>
      <c r="K25" s="358">
        <f>SUM(K21:K24)</f>
        <v>3000</v>
      </c>
      <c r="L25" s="139"/>
      <c r="M25" s="111"/>
      <c r="N25" s="173">
        <f>SUM(N21:N24)</f>
        <v>2</v>
      </c>
      <c r="O25" s="68">
        <f>SUM(O21:O24)</f>
        <v>2</v>
      </c>
      <c r="P25" s="377">
        <f>IFERROR(AVERAGE(P21:P24),"")</f>
        <v>1</v>
      </c>
      <c r="Q25" s="1319"/>
      <c r="R25" s="1315"/>
      <c r="S25" s="352">
        <f>SUM(S21:S24)</f>
        <v>0</v>
      </c>
      <c r="T25" s="70">
        <f>SUM(T21:T24)</f>
        <v>2824.92</v>
      </c>
    </row>
    <row r="26" spans="1:20" ht="31.5" customHeight="1">
      <c r="A26" s="1321" t="s">
        <v>278</v>
      </c>
      <c r="B26" s="168">
        <f>B24+1</f>
        <v>15</v>
      </c>
      <c r="C26" s="180" t="s">
        <v>279</v>
      </c>
      <c r="D26" s="190"/>
      <c r="E26" s="59"/>
      <c r="F26" s="59"/>
      <c r="G26" s="59"/>
      <c r="H26" s="305"/>
      <c r="I26" s="356">
        <v>0</v>
      </c>
      <c r="J26" s="356">
        <v>5850</v>
      </c>
      <c r="K26" s="357">
        <f t="shared" ref="K26:K28" si="14">I26+J26</f>
        <v>5850</v>
      </c>
      <c r="L26" s="182"/>
      <c r="M26" s="112"/>
      <c r="N26" s="174">
        <v>9</v>
      </c>
      <c r="O26" s="58">
        <v>0</v>
      </c>
      <c r="P26" s="108">
        <f t="shared" ref="P26:P27" si="15">IF(N26,MIN(1,O26/N26),"")</f>
        <v>0</v>
      </c>
      <c r="Q26" s="1319"/>
      <c r="R26" s="1315"/>
      <c r="S26" s="57"/>
      <c r="T26" s="258"/>
    </row>
    <row r="27" spans="1:20" ht="31.5" customHeight="1">
      <c r="A27" s="1322"/>
      <c r="B27" s="353">
        <f>B26+1</f>
        <v>16</v>
      </c>
      <c r="C27" s="181" t="s">
        <v>280</v>
      </c>
      <c r="D27" s="191"/>
      <c r="E27" s="61"/>
      <c r="F27" s="61"/>
      <c r="G27" s="61"/>
      <c r="H27" s="60"/>
      <c r="I27" s="356">
        <v>0</v>
      </c>
      <c r="J27" s="356">
        <v>15000</v>
      </c>
      <c r="K27" s="357">
        <f t="shared" si="14"/>
        <v>15000</v>
      </c>
      <c r="L27" s="183"/>
      <c r="M27" s="110"/>
      <c r="N27" s="172">
        <v>1</v>
      </c>
      <c r="O27" s="58">
        <v>0</v>
      </c>
      <c r="P27" s="108">
        <f t="shared" si="15"/>
        <v>0</v>
      </c>
      <c r="Q27" s="1319"/>
      <c r="R27" s="1315"/>
      <c r="S27" s="57"/>
      <c r="T27" s="257"/>
    </row>
    <row r="28" spans="1:20" ht="31.5" customHeight="1">
      <c r="A28" s="1322"/>
      <c r="B28" s="353">
        <f t="shared" ref="B28" si="16">B27+1</f>
        <v>17</v>
      </c>
      <c r="C28" s="181" t="s">
        <v>281</v>
      </c>
      <c r="D28" s="191"/>
      <c r="E28" s="61"/>
      <c r="F28" s="61"/>
      <c r="G28" s="55"/>
      <c r="H28" s="306"/>
      <c r="I28" s="356">
        <v>0</v>
      </c>
      <c r="J28" s="356">
        <v>100000</v>
      </c>
      <c r="K28" s="357">
        <f t="shared" si="14"/>
        <v>100000</v>
      </c>
      <c r="L28" s="183"/>
      <c r="M28" s="110"/>
      <c r="N28" s="172">
        <v>2</v>
      </c>
      <c r="O28" s="58">
        <v>0</v>
      </c>
      <c r="P28" s="378">
        <f t="shared" ref="P28" si="17">IF(N28,MIN(1,O28/N28),"")</f>
        <v>0</v>
      </c>
      <c r="Q28" s="1320"/>
      <c r="R28" s="1316"/>
      <c r="S28" s="57"/>
      <c r="T28" s="257"/>
    </row>
    <row r="29" spans="1:20">
      <c r="A29" s="1323"/>
      <c r="B29" s="65"/>
      <c r="C29" s="66"/>
      <c r="D29" s="67"/>
      <c r="E29" s="67"/>
      <c r="F29" s="67"/>
      <c r="G29" s="67"/>
      <c r="H29" s="66"/>
      <c r="I29" s="359">
        <f>SUM(I26:I28)</f>
        <v>0</v>
      </c>
      <c r="J29" s="359">
        <f>SUM(J26:J28)</f>
        <v>120850</v>
      </c>
      <c r="K29" s="358">
        <f>SUM(K26:K28)</f>
        <v>120850</v>
      </c>
      <c r="L29" s="139"/>
      <c r="M29" s="111"/>
      <c r="N29" s="173">
        <f>SUM(N26:N28)</f>
        <v>12</v>
      </c>
      <c r="O29" s="68">
        <f>SUM(O26:O28)</f>
        <v>0</v>
      </c>
      <c r="P29" s="69">
        <f>IFERROR(AVERAGE(P26:P28),"")</f>
        <v>0</v>
      </c>
      <c r="Q29" s="272">
        <f>IFERROR(AVERAGE(P19,P21:P24,P26:P28),"")</f>
        <v>0.33333333333333331</v>
      </c>
      <c r="R29" s="272">
        <f>IFERROR(AVERAGE(P8:P16,P19,,P21:P24,P26:P28),"")</f>
        <v>0.30666666666666664</v>
      </c>
      <c r="S29" s="352">
        <f>SUM(S26:S28)</f>
        <v>0</v>
      </c>
      <c r="T29" s="70">
        <f>SUM(T26:T28)</f>
        <v>0</v>
      </c>
    </row>
    <row r="30" spans="1:20" ht="35.25" customHeight="1">
      <c r="A30" s="339" t="s">
        <v>282</v>
      </c>
      <c r="B30" s="340"/>
      <c r="C30" s="340"/>
      <c r="D30" s="340"/>
      <c r="E30" s="340"/>
      <c r="F30" s="340"/>
      <c r="G30" s="340"/>
      <c r="H30" s="341"/>
      <c r="I30" s="387">
        <f t="shared" ref="I30:J30" si="18">I31+I36</f>
        <v>9000</v>
      </c>
      <c r="J30" s="388">
        <f t="shared" si="18"/>
        <v>53000</v>
      </c>
      <c r="K30" s="386">
        <f>K31+K36</f>
        <v>62000</v>
      </c>
      <c r="L30" s="342"/>
      <c r="M30" s="343"/>
      <c r="N30" s="344"/>
      <c r="O30" s="345"/>
      <c r="P30" s="346"/>
      <c r="Q30" s="346"/>
      <c r="R30" s="347"/>
      <c r="S30" s="350">
        <f t="shared" ref="S30:T30" si="19">S31+S36</f>
        <v>0</v>
      </c>
      <c r="T30" s="348">
        <f t="shared" si="19"/>
        <v>13925.6</v>
      </c>
    </row>
    <row r="31" spans="1:20" ht="30.75" customHeight="1">
      <c r="A31" s="360" t="s">
        <v>283</v>
      </c>
      <c r="B31" s="361"/>
      <c r="C31" s="361"/>
      <c r="D31" s="362"/>
      <c r="E31" s="363" t="s">
        <v>248</v>
      </c>
      <c r="F31" s="364" t="s">
        <v>249</v>
      </c>
      <c r="G31" s="364" t="s">
        <v>250</v>
      </c>
      <c r="H31" s="365" t="s">
        <v>251</v>
      </c>
      <c r="I31" s="389">
        <f t="shared" ref="I31:J31" si="20">I35</f>
        <v>0</v>
      </c>
      <c r="J31" s="384">
        <f t="shared" si="20"/>
        <v>30000</v>
      </c>
      <c r="K31" s="385">
        <f>K35</f>
        <v>30000</v>
      </c>
      <c r="L31" s="366"/>
      <c r="M31" s="367"/>
      <c r="N31" s="368"/>
      <c r="O31" s="369"/>
      <c r="P31" s="370"/>
      <c r="Q31" s="371"/>
      <c r="R31" s="372"/>
      <c r="S31" s="373">
        <f t="shared" ref="S31:T31" si="21">S35</f>
        <v>0</v>
      </c>
      <c r="T31" s="374">
        <f t="shared" si="21"/>
        <v>0</v>
      </c>
    </row>
    <row r="32" spans="1:20" ht="31.5" customHeight="1">
      <c r="A32" s="1301" t="s">
        <v>284</v>
      </c>
      <c r="B32" s="167">
        <f>B28+1</f>
        <v>18</v>
      </c>
      <c r="C32" s="180" t="s">
        <v>285</v>
      </c>
      <c r="D32" s="190"/>
      <c r="E32" s="55"/>
      <c r="F32" s="61"/>
      <c r="G32" s="61"/>
      <c r="H32" s="60"/>
      <c r="I32" s="356"/>
      <c r="J32" s="356">
        <v>30000</v>
      </c>
      <c r="K32" s="357">
        <f t="shared" ref="K32:K34" si="22">I32+J32</f>
        <v>30000</v>
      </c>
      <c r="L32" s="182"/>
      <c r="M32" s="113"/>
      <c r="N32" s="175">
        <v>2</v>
      </c>
      <c r="O32" s="58">
        <v>0</v>
      </c>
      <c r="P32" s="108">
        <f t="shared" ref="P32:P34" si="23">IF(N32,MIN(1,O32/N32),"")</f>
        <v>0</v>
      </c>
      <c r="Q32" s="1304"/>
      <c r="R32" s="1304"/>
      <c r="S32" s="165"/>
      <c r="T32" s="260"/>
    </row>
    <row r="33" spans="1:20" ht="31.5" customHeight="1">
      <c r="A33" s="1302"/>
      <c r="B33" s="167">
        <f>B32+1</f>
        <v>19</v>
      </c>
      <c r="C33" s="181" t="s">
        <v>286</v>
      </c>
      <c r="D33" s="191"/>
      <c r="E33" s="55"/>
      <c r="F33" s="61"/>
      <c r="G33" s="61"/>
      <c r="H33" s="60"/>
      <c r="I33" s="356"/>
      <c r="J33" s="356"/>
      <c r="K33" s="357">
        <f t="shared" si="22"/>
        <v>0</v>
      </c>
      <c r="L33" s="183"/>
      <c r="M33" s="110"/>
      <c r="N33" s="172">
        <v>0</v>
      </c>
      <c r="O33" s="58">
        <v>0</v>
      </c>
      <c r="P33" s="108" t="str">
        <f t="shared" si="23"/>
        <v/>
      </c>
      <c r="Q33" s="1305"/>
      <c r="R33" s="1305"/>
      <c r="S33" s="165"/>
      <c r="T33" s="257"/>
    </row>
    <row r="34" spans="1:20" ht="31.5" customHeight="1">
      <c r="A34" s="1302"/>
      <c r="B34" s="167">
        <f t="shared" ref="B34" si="24">B33+1</f>
        <v>20</v>
      </c>
      <c r="C34" s="181" t="s">
        <v>287</v>
      </c>
      <c r="D34" s="191"/>
      <c r="E34" s="55"/>
      <c r="F34" s="61"/>
      <c r="G34" s="61"/>
      <c r="H34" s="60"/>
      <c r="I34" s="356"/>
      <c r="J34" s="356"/>
      <c r="K34" s="357">
        <f t="shared" si="22"/>
        <v>0</v>
      </c>
      <c r="L34" s="183"/>
      <c r="M34" s="110"/>
      <c r="N34" s="172">
        <v>0</v>
      </c>
      <c r="O34" s="58">
        <v>0</v>
      </c>
      <c r="P34" s="108" t="str">
        <f t="shared" si="23"/>
        <v/>
      </c>
      <c r="Q34" s="1305"/>
      <c r="R34" s="1305"/>
      <c r="S34" s="165"/>
      <c r="T34" s="257"/>
    </row>
    <row r="35" spans="1:20">
      <c r="A35" s="1303"/>
      <c r="B35" s="65"/>
      <c r="C35" s="81"/>
      <c r="D35" s="120"/>
      <c r="E35" s="67"/>
      <c r="F35" s="67"/>
      <c r="G35" s="67"/>
      <c r="H35" s="66"/>
      <c r="I35" s="359">
        <f t="shared" ref="I35:J35" si="25">SUM(I32:I34)</f>
        <v>0</v>
      </c>
      <c r="J35" s="359">
        <f t="shared" si="25"/>
        <v>30000</v>
      </c>
      <c r="K35" s="358">
        <f>SUM(K32:K34)</f>
        <v>30000</v>
      </c>
      <c r="L35" s="139"/>
      <c r="M35" s="111"/>
      <c r="N35" s="173">
        <f>SUM(N32:N34)</f>
        <v>2</v>
      </c>
      <c r="O35" s="68">
        <f>SUM(O32:O34)</f>
        <v>0</v>
      </c>
      <c r="P35" s="69">
        <f>IFERROR(AVERAGE(P32:P34),"")</f>
        <v>0</v>
      </c>
      <c r="Q35" s="379">
        <f>IFERROR(AVERAGE(P32:P34),"")</f>
        <v>0</v>
      </c>
      <c r="R35" s="1305"/>
      <c r="S35" s="352">
        <f t="shared" ref="S35:T35" si="26">SUM(S32:S34)</f>
        <v>0</v>
      </c>
      <c r="T35" s="70">
        <f t="shared" si="26"/>
        <v>0</v>
      </c>
    </row>
    <row r="36" spans="1:20" ht="30.75" customHeight="1">
      <c r="A36" s="360" t="s">
        <v>288</v>
      </c>
      <c r="B36" s="361"/>
      <c r="C36" s="361"/>
      <c r="D36" s="362"/>
      <c r="E36" s="363" t="s">
        <v>248</v>
      </c>
      <c r="F36" s="364" t="s">
        <v>249</v>
      </c>
      <c r="G36" s="364" t="s">
        <v>250</v>
      </c>
      <c r="H36" s="365" t="s">
        <v>251</v>
      </c>
      <c r="I36" s="389">
        <f t="shared" ref="I36:J36" si="27">I40+I43</f>
        <v>9000</v>
      </c>
      <c r="J36" s="384">
        <f t="shared" si="27"/>
        <v>23000</v>
      </c>
      <c r="K36" s="385">
        <f>K40+K43</f>
        <v>32000</v>
      </c>
      <c r="L36" s="366"/>
      <c r="M36" s="367"/>
      <c r="N36" s="368"/>
      <c r="O36" s="369"/>
      <c r="P36" s="370"/>
      <c r="Q36" s="375"/>
      <c r="R36" s="1305"/>
      <c r="S36" s="373">
        <f t="shared" ref="S36:T36" si="28">S40+S43</f>
        <v>0</v>
      </c>
      <c r="T36" s="374">
        <f t="shared" si="28"/>
        <v>13925.6</v>
      </c>
    </row>
    <row r="37" spans="1:20" ht="31.5" customHeight="1">
      <c r="A37" s="1347" t="s">
        <v>289</v>
      </c>
      <c r="B37" s="167">
        <f>B34+1</f>
        <v>21</v>
      </c>
      <c r="C37" s="180" t="s">
        <v>290</v>
      </c>
      <c r="D37" s="190"/>
      <c r="E37" s="61"/>
      <c r="F37" s="61"/>
      <c r="G37" s="61"/>
      <c r="H37" s="60"/>
      <c r="I37" s="356"/>
      <c r="J37" s="356">
        <v>15000</v>
      </c>
      <c r="K37" s="357">
        <f t="shared" ref="K37:K39" si="29">I37+J37</f>
        <v>15000</v>
      </c>
      <c r="L37" s="182"/>
      <c r="M37" s="171"/>
      <c r="N37" s="1125">
        <v>1</v>
      </c>
      <c r="O37" s="58">
        <v>1</v>
      </c>
      <c r="P37" s="109">
        <f t="shared" ref="P37:P39" si="30">IF(N37,MIN(1,O37/N37),"")</f>
        <v>1</v>
      </c>
      <c r="Q37" s="1339"/>
      <c r="R37" s="1305"/>
      <c r="S37" s="165"/>
      <c r="T37" s="257">
        <v>13925.6</v>
      </c>
    </row>
    <row r="38" spans="1:20" ht="31.5" customHeight="1">
      <c r="A38" s="1348"/>
      <c r="B38" s="167">
        <f>B37+1</f>
        <v>22</v>
      </c>
      <c r="C38" s="181" t="s">
        <v>291</v>
      </c>
      <c r="D38" s="191"/>
      <c r="E38" s="61"/>
      <c r="F38" s="61"/>
      <c r="G38" s="61"/>
      <c r="H38" s="60"/>
      <c r="I38" s="356"/>
      <c r="J38" s="356">
        <v>5000</v>
      </c>
      <c r="K38" s="357">
        <f t="shared" si="29"/>
        <v>5000</v>
      </c>
      <c r="L38" s="183"/>
      <c r="M38" s="171"/>
      <c r="N38" s="1125">
        <v>1</v>
      </c>
      <c r="O38" s="58">
        <v>0</v>
      </c>
      <c r="P38" s="109">
        <f t="shared" si="30"/>
        <v>0</v>
      </c>
      <c r="Q38" s="1305"/>
      <c r="R38" s="1305"/>
      <c r="S38" s="165"/>
      <c r="T38" s="257"/>
    </row>
    <row r="39" spans="1:20" ht="31.5" customHeight="1">
      <c r="A39" s="1348"/>
      <c r="B39" s="167">
        <f>B38+1</f>
        <v>23</v>
      </c>
      <c r="C39" s="181" t="s">
        <v>292</v>
      </c>
      <c r="D39" s="192"/>
      <c r="E39" s="61"/>
      <c r="F39" s="61"/>
      <c r="G39" s="61"/>
      <c r="H39" s="60"/>
      <c r="I39" s="356"/>
      <c r="J39" s="356">
        <v>3000</v>
      </c>
      <c r="K39" s="357">
        <f t="shared" si="29"/>
        <v>3000</v>
      </c>
      <c r="L39" s="184"/>
      <c r="M39" s="171"/>
      <c r="N39" s="1125">
        <v>15</v>
      </c>
      <c r="O39" s="58">
        <v>0</v>
      </c>
      <c r="P39" s="109">
        <f t="shared" si="30"/>
        <v>0</v>
      </c>
      <c r="Q39" s="1305"/>
      <c r="R39" s="1305"/>
      <c r="S39" s="165"/>
      <c r="T39" s="257"/>
    </row>
    <row r="40" spans="1:20">
      <c r="A40" s="1348"/>
      <c r="B40" s="65"/>
      <c r="C40" s="81"/>
      <c r="D40" s="120"/>
      <c r="E40" s="67"/>
      <c r="F40" s="67"/>
      <c r="G40" s="67"/>
      <c r="H40" s="66"/>
      <c r="I40" s="359">
        <f t="shared" ref="I40:J40" si="31">SUM(I37:I39)</f>
        <v>0</v>
      </c>
      <c r="J40" s="359">
        <f t="shared" si="31"/>
        <v>23000</v>
      </c>
      <c r="K40" s="358">
        <f>SUM(K37:K39)</f>
        <v>23000</v>
      </c>
      <c r="L40" s="139"/>
      <c r="M40" s="111"/>
      <c r="N40" s="173">
        <f>SUM(N37:N39)</f>
        <v>17</v>
      </c>
      <c r="O40" s="68">
        <f>SUM(O37:O39)</f>
        <v>1</v>
      </c>
      <c r="P40" s="69">
        <f>IFERROR(AVERAGE(P37:P39),"")</f>
        <v>0.33333333333333331</v>
      </c>
      <c r="Q40" s="1305"/>
      <c r="R40" s="1305"/>
      <c r="S40" s="352">
        <f>SUM(S37:S39)</f>
        <v>0</v>
      </c>
      <c r="T40" s="70">
        <f>SUM(T37:T39)</f>
        <v>13925.6</v>
      </c>
    </row>
    <row r="41" spans="1:20" ht="31.5" customHeight="1">
      <c r="A41" s="1347" t="s">
        <v>293</v>
      </c>
      <c r="B41" s="167">
        <f>B39+1</f>
        <v>24</v>
      </c>
      <c r="C41" s="180" t="s">
        <v>294</v>
      </c>
      <c r="D41" s="190"/>
      <c r="E41" s="61"/>
      <c r="F41" s="61"/>
      <c r="G41" s="61"/>
      <c r="H41" s="60"/>
      <c r="I41" s="356">
        <v>9000</v>
      </c>
      <c r="J41" s="356">
        <v>0</v>
      </c>
      <c r="K41" s="357">
        <f t="shared" ref="K41:K42" si="32">I41+J41</f>
        <v>9000</v>
      </c>
      <c r="L41" s="182"/>
      <c r="M41" s="171"/>
      <c r="N41" s="1125">
        <v>1</v>
      </c>
      <c r="O41" s="58">
        <v>0</v>
      </c>
      <c r="P41" s="109">
        <f t="shared" ref="P41:P42" si="33">IF(N41,MIN(1,O41/N41),"")</f>
        <v>0</v>
      </c>
      <c r="Q41" s="1305"/>
      <c r="R41" s="1305"/>
      <c r="S41" s="165"/>
      <c r="T41" s="257"/>
    </row>
    <row r="42" spans="1:20" ht="31.5" customHeight="1">
      <c r="A42" s="1348"/>
      <c r="B42" s="167">
        <f>B41+1</f>
        <v>25</v>
      </c>
      <c r="C42" s="181" t="s">
        <v>295</v>
      </c>
      <c r="D42" s="191"/>
      <c r="E42" s="61"/>
      <c r="F42" s="61"/>
      <c r="G42" s="61"/>
      <c r="H42" s="60"/>
      <c r="I42" s="356">
        <v>0</v>
      </c>
      <c r="J42" s="356">
        <v>0</v>
      </c>
      <c r="K42" s="357">
        <f t="shared" si="32"/>
        <v>0</v>
      </c>
      <c r="L42" s="183"/>
      <c r="M42" s="171"/>
      <c r="N42" s="1125">
        <v>0</v>
      </c>
      <c r="O42" s="58">
        <v>0</v>
      </c>
      <c r="P42" s="109" t="str">
        <f t="shared" si="33"/>
        <v/>
      </c>
      <c r="Q42" s="1346"/>
      <c r="R42" s="1305"/>
      <c r="S42" s="165"/>
      <c r="T42" s="257"/>
    </row>
    <row r="43" spans="1:20">
      <c r="A43" s="1348"/>
      <c r="B43" s="65"/>
      <c r="C43" s="81"/>
      <c r="D43" s="120"/>
      <c r="E43" s="67"/>
      <c r="F43" s="67"/>
      <c r="G43" s="67"/>
      <c r="H43" s="66"/>
      <c r="I43" s="359">
        <f t="shared" ref="I43:J43" si="34">SUM(I41:I42)</f>
        <v>9000</v>
      </c>
      <c r="J43" s="359">
        <f t="shared" si="34"/>
        <v>0</v>
      </c>
      <c r="K43" s="358">
        <f>SUM(K41:K42)</f>
        <v>9000</v>
      </c>
      <c r="L43" s="139"/>
      <c r="M43" s="111"/>
      <c r="N43" s="173">
        <f>SUM(N41:N42)</f>
        <v>1</v>
      </c>
      <c r="O43" s="68">
        <f>SUM(O41:O42)</f>
        <v>0</v>
      </c>
      <c r="P43" s="69">
        <f>IFERROR(AVERAGE(P41:P42),"")</f>
        <v>0</v>
      </c>
      <c r="Q43" s="69">
        <f>IFERROR(AVERAGE(P37:P39,P41:P42),"")</f>
        <v>0.25</v>
      </c>
      <c r="R43" s="272">
        <f>IFERROR(AVERAGE(P32:P34,P37:P39,P41:P42),"")</f>
        <v>0.2</v>
      </c>
      <c r="S43" s="352">
        <f>SUM(S41:S42)</f>
        <v>0</v>
      </c>
      <c r="T43" s="70">
        <f>SUM(T41:T42)</f>
        <v>0</v>
      </c>
    </row>
    <row r="44" spans="1:20" ht="88.5" customHeight="1">
      <c r="A44" s="339" t="s">
        <v>296</v>
      </c>
      <c r="B44" s="340"/>
      <c r="C44" s="340"/>
      <c r="D44" s="340"/>
      <c r="E44" s="340"/>
      <c r="F44" s="340"/>
      <c r="G44" s="340"/>
      <c r="H44" s="341"/>
      <c r="I44" s="387">
        <f t="shared" ref="I44:J44" si="35">I45+I68+I85</f>
        <v>0</v>
      </c>
      <c r="J44" s="388">
        <f t="shared" si="35"/>
        <v>404454.54545454547</v>
      </c>
      <c r="K44" s="386">
        <f>K45+K68+K85</f>
        <v>404454.54545454547</v>
      </c>
      <c r="L44" s="342"/>
      <c r="M44" s="343"/>
      <c r="N44" s="344"/>
      <c r="O44" s="345"/>
      <c r="P44" s="346"/>
      <c r="Q44" s="346"/>
      <c r="R44" s="347"/>
      <c r="S44" s="350">
        <f t="shared" ref="S44:T44" si="36">S45+S68+S85</f>
        <v>0</v>
      </c>
      <c r="T44" s="348">
        <f t="shared" si="36"/>
        <v>104858.18</v>
      </c>
    </row>
    <row r="45" spans="1:20" ht="30.75" customHeight="1">
      <c r="A45" s="360" t="s">
        <v>297</v>
      </c>
      <c r="B45" s="361"/>
      <c r="C45" s="361"/>
      <c r="D45" s="362"/>
      <c r="E45" s="363" t="s">
        <v>248</v>
      </c>
      <c r="F45" s="364" t="s">
        <v>249</v>
      </c>
      <c r="G45" s="364" t="s">
        <v>250</v>
      </c>
      <c r="H45" s="365" t="s">
        <v>251</v>
      </c>
      <c r="I45" s="389">
        <f t="shared" ref="I45:J45" si="37">I52+I59+I67</f>
        <v>0</v>
      </c>
      <c r="J45" s="384">
        <f t="shared" si="37"/>
        <v>183000</v>
      </c>
      <c r="K45" s="385">
        <f>K52+K59+K67</f>
        <v>183000</v>
      </c>
      <c r="L45" s="366"/>
      <c r="M45" s="367"/>
      <c r="N45" s="368"/>
      <c r="O45" s="369"/>
      <c r="P45" s="370"/>
      <c r="Q45" s="371"/>
      <c r="R45" s="372"/>
      <c r="S45" s="373">
        <f t="shared" ref="S45:T45" si="38">S52+S59+S67</f>
        <v>0</v>
      </c>
      <c r="T45" s="374">
        <f t="shared" si="38"/>
        <v>73638.290000000008</v>
      </c>
    </row>
    <row r="46" spans="1:20" ht="31.5" customHeight="1">
      <c r="A46" s="1301" t="s">
        <v>298</v>
      </c>
      <c r="B46" s="167">
        <f>B42+1</f>
        <v>26</v>
      </c>
      <c r="C46" s="169" t="s">
        <v>299</v>
      </c>
      <c r="D46" s="176"/>
      <c r="E46" s="55"/>
      <c r="F46" s="61"/>
      <c r="G46" s="61"/>
      <c r="H46" s="60"/>
      <c r="I46" s="356">
        <v>0</v>
      </c>
      <c r="J46" s="356">
        <v>0</v>
      </c>
      <c r="K46" s="357">
        <f t="shared" ref="K46:K48" si="39">I46+J46</f>
        <v>0</v>
      </c>
      <c r="L46" s="182"/>
      <c r="M46" s="179"/>
      <c r="N46" s="175">
        <v>0</v>
      </c>
      <c r="O46" s="58">
        <v>0</v>
      </c>
      <c r="P46" s="109" t="str">
        <f t="shared" ref="P46:P48" si="40">IF(N46,MIN(1,O46/N46),"")</f>
        <v/>
      </c>
      <c r="Q46" s="1336"/>
      <c r="R46" s="1304"/>
      <c r="S46" s="165"/>
      <c r="T46" s="260"/>
    </row>
    <row r="47" spans="1:20" ht="36.75" customHeight="1">
      <c r="A47" s="1322"/>
      <c r="B47" s="167">
        <f>B46+1</f>
        <v>27</v>
      </c>
      <c r="C47" s="170" t="s">
        <v>300</v>
      </c>
      <c r="D47" s="177"/>
      <c r="E47" s="61"/>
      <c r="F47" s="61"/>
      <c r="G47" s="61"/>
      <c r="H47" s="60"/>
      <c r="I47" s="356">
        <v>0</v>
      </c>
      <c r="J47" s="356">
        <v>0</v>
      </c>
      <c r="K47" s="357">
        <f t="shared" si="39"/>
        <v>0</v>
      </c>
      <c r="L47" s="183"/>
      <c r="M47" s="171"/>
      <c r="N47" s="172">
        <v>0</v>
      </c>
      <c r="O47" s="58">
        <v>0</v>
      </c>
      <c r="P47" s="109" t="str">
        <f t="shared" si="40"/>
        <v/>
      </c>
      <c r="Q47" s="1337"/>
      <c r="R47" s="1305"/>
      <c r="S47" s="165"/>
      <c r="T47" s="257"/>
    </row>
    <row r="48" spans="1:20" ht="31.5" customHeight="1">
      <c r="A48" s="1322"/>
      <c r="B48" s="167">
        <f>B47+1</f>
        <v>28</v>
      </c>
      <c r="C48" s="170" t="s">
        <v>301</v>
      </c>
      <c r="D48" s="177"/>
      <c r="E48" s="61"/>
      <c r="F48" s="61"/>
      <c r="G48" s="61"/>
      <c r="H48" s="60"/>
      <c r="I48" s="356">
        <v>0</v>
      </c>
      <c r="J48" s="356">
        <v>10000</v>
      </c>
      <c r="K48" s="357">
        <f t="shared" si="39"/>
        <v>10000</v>
      </c>
      <c r="L48" s="183"/>
      <c r="M48" s="171"/>
      <c r="N48" s="172">
        <v>1</v>
      </c>
      <c r="O48" s="58">
        <v>0</v>
      </c>
      <c r="P48" s="109">
        <f t="shared" si="40"/>
        <v>0</v>
      </c>
      <c r="Q48" s="1337"/>
      <c r="R48" s="1305"/>
      <c r="S48" s="165"/>
      <c r="T48" s="257"/>
    </row>
    <row r="49" spans="1:20" ht="31.5" customHeight="1">
      <c r="A49" s="1322"/>
      <c r="B49" s="167">
        <f t="shared" ref="B49:B51" si="41">B48+1</f>
        <v>29</v>
      </c>
      <c r="C49" s="170" t="s">
        <v>302</v>
      </c>
      <c r="D49" s="177"/>
      <c r="E49" s="55"/>
      <c r="F49" s="61"/>
      <c r="G49" s="61"/>
      <c r="H49" s="60"/>
      <c r="I49" s="356">
        <v>0</v>
      </c>
      <c r="J49" s="356">
        <v>5000</v>
      </c>
      <c r="K49" s="357">
        <f t="shared" ref="K49:K51" si="42">I49+J49</f>
        <v>5000</v>
      </c>
      <c r="L49" s="183"/>
      <c r="M49" s="171"/>
      <c r="N49" s="172">
        <v>1</v>
      </c>
      <c r="O49" s="58">
        <v>0</v>
      </c>
      <c r="P49" s="109">
        <f t="shared" ref="P49:P51" si="43">IF(N49,MIN(1,O49/N49),"")</f>
        <v>0</v>
      </c>
      <c r="Q49" s="1337"/>
      <c r="R49" s="1305"/>
      <c r="S49" s="165"/>
      <c r="T49" s="257"/>
    </row>
    <row r="50" spans="1:20" ht="36.75" customHeight="1">
      <c r="A50" s="1322"/>
      <c r="B50" s="167">
        <f t="shared" si="41"/>
        <v>30</v>
      </c>
      <c r="C50" s="170" t="s">
        <v>303</v>
      </c>
      <c r="D50" s="177"/>
      <c r="E50" s="61"/>
      <c r="F50" s="61"/>
      <c r="G50" s="61"/>
      <c r="H50" s="60"/>
      <c r="I50" s="356">
        <v>0</v>
      </c>
      <c r="J50" s="356">
        <v>8000</v>
      </c>
      <c r="K50" s="357">
        <f t="shared" si="42"/>
        <v>8000</v>
      </c>
      <c r="L50" s="183"/>
      <c r="M50" s="171"/>
      <c r="N50" s="172">
        <v>4</v>
      </c>
      <c r="O50" s="58">
        <v>4</v>
      </c>
      <c r="P50" s="109">
        <f t="shared" si="43"/>
        <v>1</v>
      </c>
      <c r="Q50" s="1337"/>
      <c r="R50" s="1305"/>
      <c r="S50" s="165"/>
      <c r="T50" s="257">
        <v>6673.01</v>
      </c>
    </row>
    <row r="51" spans="1:20" ht="31.5" customHeight="1">
      <c r="A51" s="1322"/>
      <c r="B51" s="167">
        <f t="shared" si="41"/>
        <v>31</v>
      </c>
      <c r="C51" s="170" t="s">
        <v>304</v>
      </c>
      <c r="D51" s="127"/>
      <c r="E51" s="61"/>
      <c r="F51" s="61"/>
      <c r="G51" s="61"/>
      <c r="H51" s="60"/>
      <c r="I51" s="356">
        <v>0</v>
      </c>
      <c r="J51" s="356">
        <v>30000</v>
      </c>
      <c r="K51" s="357">
        <f t="shared" si="42"/>
        <v>30000</v>
      </c>
      <c r="L51" s="184"/>
      <c r="M51" s="110"/>
      <c r="N51" s="172">
        <v>1</v>
      </c>
      <c r="O51" s="58">
        <v>1</v>
      </c>
      <c r="P51" s="109">
        <f t="shared" si="43"/>
        <v>1</v>
      </c>
      <c r="Q51" s="1337"/>
      <c r="R51" s="1305"/>
      <c r="S51" s="165"/>
      <c r="T51" s="257">
        <v>27243.89</v>
      </c>
    </row>
    <row r="52" spans="1:20">
      <c r="A52" s="1323"/>
      <c r="B52" s="65"/>
      <c r="C52" s="81"/>
      <c r="D52" s="120"/>
      <c r="E52" s="67"/>
      <c r="F52" s="67"/>
      <c r="G52" s="67"/>
      <c r="H52" s="66"/>
      <c r="I52" s="359">
        <f t="shared" ref="I52:J52" si="44">SUM(I46:I51)</f>
        <v>0</v>
      </c>
      <c r="J52" s="359">
        <f t="shared" si="44"/>
        <v>53000</v>
      </c>
      <c r="K52" s="358">
        <f>SUM(K46:K51)</f>
        <v>53000</v>
      </c>
      <c r="L52" s="139"/>
      <c r="M52" s="111"/>
      <c r="N52" s="173">
        <f>SUM(N46:N51)</f>
        <v>7</v>
      </c>
      <c r="O52" s="68">
        <f>SUM(O46:O51)</f>
        <v>5</v>
      </c>
      <c r="P52" s="69">
        <f>IFERROR(AVERAGE(P46:P51),"")</f>
        <v>0.5</v>
      </c>
      <c r="Q52" s="1337"/>
      <c r="R52" s="1305"/>
      <c r="S52" s="352">
        <f t="shared" ref="S52:T52" si="45">SUM(S46:S51)</f>
        <v>0</v>
      </c>
      <c r="T52" s="70">
        <f t="shared" si="45"/>
        <v>33916.9</v>
      </c>
    </row>
    <row r="53" spans="1:20" ht="31.5" customHeight="1">
      <c r="A53" s="1356" t="s">
        <v>305</v>
      </c>
      <c r="B53" s="167">
        <f>B51+1</f>
        <v>32</v>
      </c>
      <c r="C53" s="170" t="s">
        <v>306</v>
      </c>
      <c r="D53" s="176"/>
      <c r="E53" s="61"/>
      <c r="F53" s="61"/>
      <c r="G53" s="61"/>
      <c r="H53" s="60"/>
      <c r="I53" s="356"/>
      <c r="J53" s="356"/>
      <c r="K53" s="357">
        <f t="shared" ref="K53:K58" si="46">I53+J53</f>
        <v>0</v>
      </c>
      <c r="L53" s="182"/>
      <c r="M53" s="171"/>
      <c r="N53" s="172">
        <v>0</v>
      </c>
      <c r="O53" s="58">
        <v>0</v>
      </c>
      <c r="P53" s="109" t="str">
        <f>IF(N53,MIN(1,O53/N53),"")</f>
        <v/>
      </c>
      <c r="Q53" s="1337"/>
      <c r="R53" s="1305"/>
      <c r="S53" s="165"/>
      <c r="T53" s="257"/>
    </row>
    <row r="54" spans="1:20" ht="31.5" customHeight="1">
      <c r="A54" s="1357"/>
      <c r="B54" s="167">
        <f>B53+1</f>
        <v>33</v>
      </c>
      <c r="C54" s="170" t="s">
        <v>307</v>
      </c>
      <c r="D54" s="126"/>
      <c r="E54" s="61"/>
      <c r="F54" s="61"/>
      <c r="G54" s="61"/>
      <c r="H54" s="60"/>
      <c r="I54" s="356"/>
      <c r="J54" s="356"/>
      <c r="K54" s="357">
        <f t="shared" si="46"/>
        <v>0</v>
      </c>
      <c r="L54" s="183"/>
      <c r="M54" s="110"/>
      <c r="N54" s="172">
        <v>0</v>
      </c>
      <c r="O54" s="58">
        <v>0</v>
      </c>
      <c r="P54" s="109" t="str">
        <f t="shared" ref="P54:P55" si="47">IF(N54,MIN(1,O54/N54),"")</f>
        <v/>
      </c>
      <c r="Q54" s="1337"/>
      <c r="R54" s="1305"/>
      <c r="S54" s="165"/>
      <c r="T54" s="257"/>
    </row>
    <row r="55" spans="1:20" ht="31.5" customHeight="1">
      <c r="A55" s="1357"/>
      <c r="B55" s="167">
        <f>B54+1</f>
        <v>34</v>
      </c>
      <c r="C55" s="170" t="s">
        <v>308</v>
      </c>
      <c r="D55" s="126"/>
      <c r="E55" s="61"/>
      <c r="F55" s="61"/>
      <c r="G55" s="61"/>
      <c r="H55" s="60"/>
      <c r="I55" s="356"/>
      <c r="J55" s="356"/>
      <c r="K55" s="357">
        <f t="shared" si="46"/>
        <v>0</v>
      </c>
      <c r="L55" s="183"/>
      <c r="M55" s="110"/>
      <c r="N55" s="172">
        <v>0</v>
      </c>
      <c r="O55" s="58">
        <v>0</v>
      </c>
      <c r="P55" s="109" t="str">
        <f t="shared" si="47"/>
        <v/>
      </c>
      <c r="Q55" s="1337"/>
      <c r="R55" s="1305"/>
      <c r="S55" s="165"/>
      <c r="T55" s="257"/>
    </row>
    <row r="56" spans="1:20" ht="31.5" customHeight="1">
      <c r="A56" s="1357"/>
      <c r="B56" s="167">
        <f t="shared" ref="B56:B58" si="48">B55+1</f>
        <v>35</v>
      </c>
      <c r="C56" s="170" t="s">
        <v>309</v>
      </c>
      <c r="D56" s="126"/>
      <c r="E56" s="61"/>
      <c r="F56" s="61"/>
      <c r="G56" s="61"/>
      <c r="H56" s="60"/>
      <c r="I56" s="356"/>
      <c r="J56" s="356">
        <v>4000</v>
      </c>
      <c r="K56" s="357">
        <f t="shared" si="46"/>
        <v>4000</v>
      </c>
      <c r="L56" s="183"/>
      <c r="M56" s="171"/>
      <c r="N56" s="172">
        <v>2</v>
      </c>
      <c r="O56" s="58">
        <v>0</v>
      </c>
      <c r="P56" s="109">
        <f>IF(N56,MIN(1,O56/N56),"")</f>
        <v>0</v>
      </c>
      <c r="Q56" s="1337"/>
      <c r="R56" s="1305"/>
      <c r="S56" s="165"/>
      <c r="T56" s="257"/>
    </row>
    <row r="57" spans="1:20" ht="31.5" customHeight="1">
      <c r="A57" s="1357"/>
      <c r="B57" s="167">
        <f t="shared" si="48"/>
        <v>36</v>
      </c>
      <c r="C57" s="170" t="s">
        <v>310</v>
      </c>
      <c r="D57" s="126"/>
      <c r="E57" s="61"/>
      <c r="F57" s="61"/>
      <c r="G57" s="61"/>
      <c r="H57" s="60"/>
      <c r="I57" s="356"/>
      <c r="J57" s="356">
        <v>20000</v>
      </c>
      <c r="K57" s="357">
        <f t="shared" si="46"/>
        <v>20000</v>
      </c>
      <c r="L57" s="183"/>
      <c r="M57" s="110"/>
      <c r="N57" s="172">
        <v>20</v>
      </c>
      <c r="O57" s="58">
        <v>9.6</v>
      </c>
      <c r="P57" s="109">
        <f t="shared" ref="P57:P58" si="49">IF(N57,MIN(1,O57/N57),"")</f>
        <v>0.48</v>
      </c>
      <c r="Q57" s="1337"/>
      <c r="R57" s="1305"/>
      <c r="S57" s="165"/>
      <c r="T57" s="257">
        <v>8833.81</v>
      </c>
    </row>
    <row r="58" spans="1:20" ht="31.5" customHeight="1">
      <c r="A58" s="1357"/>
      <c r="B58" s="167">
        <f t="shared" si="48"/>
        <v>37</v>
      </c>
      <c r="C58" s="170" t="s">
        <v>311</v>
      </c>
      <c r="D58" s="127"/>
      <c r="E58" s="61"/>
      <c r="F58" s="61"/>
      <c r="G58" s="61"/>
      <c r="H58" s="60"/>
      <c r="I58" s="356"/>
      <c r="J58" s="356"/>
      <c r="K58" s="357">
        <f t="shared" si="46"/>
        <v>0</v>
      </c>
      <c r="L58" s="184"/>
      <c r="M58" s="110"/>
      <c r="N58" s="172">
        <v>0</v>
      </c>
      <c r="O58" s="58">
        <v>0</v>
      </c>
      <c r="P58" s="109" t="str">
        <f t="shared" si="49"/>
        <v/>
      </c>
      <c r="Q58" s="1337"/>
      <c r="R58" s="1305"/>
      <c r="S58" s="165"/>
      <c r="T58" s="257"/>
    </row>
    <row r="59" spans="1:20">
      <c r="A59" s="1358"/>
      <c r="B59" s="65"/>
      <c r="C59" s="81"/>
      <c r="D59" s="120"/>
      <c r="E59" s="67"/>
      <c r="F59" s="67"/>
      <c r="G59" s="67"/>
      <c r="H59" s="66"/>
      <c r="I59" s="359">
        <f t="shared" ref="I59:J59" si="50">SUM(I53:I58)</f>
        <v>0</v>
      </c>
      <c r="J59" s="359">
        <f t="shared" si="50"/>
        <v>24000</v>
      </c>
      <c r="K59" s="358">
        <f>SUM(K53:K58)</f>
        <v>24000</v>
      </c>
      <c r="L59" s="139"/>
      <c r="M59" s="111"/>
      <c r="N59" s="173">
        <f>SUM(N53:N58)</f>
        <v>22</v>
      </c>
      <c r="O59" s="68">
        <f>SUM(O53:O58)</f>
        <v>9.6</v>
      </c>
      <c r="P59" s="69">
        <f>IFERROR(AVERAGE(P53:P58),"")</f>
        <v>0.24</v>
      </c>
      <c r="Q59" s="1337"/>
      <c r="R59" s="1305"/>
      <c r="S59" s="352">
        <f>SUM(S53:S58)</f>
        <v>0</v>
      </c>
      <c r="T59" s="70">
        <f>SUM(T53:T58)</f>
        <v>8833.81</v>
      </c>
    </row>
    <row r="60" spans="1:20" ht="31.5" customHeight="1">
      <c r="A60" s="1356" t="s">
        <v>312</v>
      </c>
      <c r="B60" s="167">
        <f>B58+1</f>
        <v>38</v>
      </c>
      <c r="C60" s="170" t="s">
        <v>313</v>
      </c>
      <c r="D60" s="176"/>
      <c r="E60" s="61"/>
      <c r="F60" s="61"/>
      <c r="G60" s="61"/>
      <c r="H60" s="60"/>
      <c r="I60" s="356"/>
      <c r="J60" s="356"/>
      <c r="K60" s="357">
        <f t="shared" ref="K60:K66" si="51">I60+J60</f>
        <v>0</v>
      </c>
      <c r="L60" s="182"/>
      <c r="M60" s="171"/>
      <c r="N60" s="172">
        <v>0</v>
      </c>
      <c r="O60" s="58">
        <v>0</v>
      </c>
      <c r="P60" s="109" t="str">
        <f>IF(N60,MIN(1,O60/N60),"")</f>
        <v/>
      </c>
      <c r="Q60" s="1337"/>
      <c r="R60" s="1305"/>
      <c r="S60" s="165"/>
      <c r="T60" s="257"/>
    </row>
    <row r="61" spans="1:20" ht="31.5" customHeight="1">
      <c r="A61" s="1357"/>
      <c r="B61" s="167">
        <f>B60+1</f>
        <v>39</v>
      </c>
      <c r="C61" s="170" t="s">
        <v>314</v>
      </c>
      <c r="D61" s="126"/>
      <c r="E61" s="61"/>
      <c r="F61" s="61"/>
      <c r="G61" s="61"/>
      <c r="H61" s="60"/>
      <c r="I61" s="356"/>
      <c r="J61" s="356">
        <v>35000</v>
      </c>
      <c r="K61" s="357">
        <f t="shared" si="51"/>
        <v>35000</v>
      </c>
      <c r="L61" s="183"/>
      <c r="M61" s="110"/>
      <c r="N61" s="172">
        <v>140</v>
      </c>
      <c r="O61" s="58">
        <v>0</v>
      </c>
      <c r="P61" s="109">
        <f t="shared" ref="P61:P62" si="52">IF(N61,MIN(1,O61/N61),"")</f>
        <v>0</v>
      </c>
      <c r="Q61" s="1337"/>
      <c r="R61" s="1305"/>
      <c r="S61" s="165"/>
      <c r="T61" s="257"/>
    </row>
    <row r="62" spans="1:20" ht="31.5" customHeight="1">
      <c r="A62" s="1357"/>
      <c r="B62" s="167">
        <f>B61+1</f>
        <v>40</v>
      </c>
      <c r="C62" s="170" t="s">
        <v>315</v>
      </c>
      <c r="D62" s="126"/>
      <c r="E62" s="61"/>
      <c r="F62" s="61"/>
      <c r="G62" s="61"/>
      <c r="H62" s="60"/>
      <c r="I62" s="356"/>
      <c r="J62" s="356">
        <v>42000</v>
      </c>
      <c r="K62" s="357">
        <f t="shared" si="51"/>
        <v>42000</v>
      </c>
      <c r="L62" s="183"/>
      <c r="M62" s="110"/>
      <c r="N62" s="172">
        <v>4</v>
      </c>
      <c r="O62" s="58">
        <v>4</v>
      </c>
      <c r="P62" s="109">
        <f t="shared" si="52"/>
        <v>1</v>
      </c>
      <c r="Q62" s="1337"/>
      <c r="R62" s="1305"/>
      <c r="S62" s="165"/>
      <c r="T62" s="257">
        <v>30271.72</v>
      </c>
    </row>
    <row r="63" spans="1:20" ht="31.5" customHeight="1">
      <c r="A63" s="1357"/>
      <c r="B63" s="167">
        <f t="shared" ref="B63:B66" si="53">B62+1</f>
        <v>41</v>
      </c>
      <c r="C63" s="170" t="s">
        <v>316</v>
      </c>
      <c r="D63" s="126"/>
      <c r="E63" s="61"/>
      <c r="F63" s="61"/>
      <c r="G63" s="61"/>
      <c r="H63" s="60"/>
      <c r="I63" s="356"/>
      <c r="J63" s="356">
        <v>20000</v>
      </c>
      <c r="K63" s="357">
        <f t="shared" si="51"/>
        <v>20000</v>
      </c>
      <c r="L63" s="183"/>
      <c r="M63" s="171"/>
      <c r="N63" s="172">
        <v>2</v>
      </c>
      <c r="O63" s="58">
        <v>0</v>
      </c>
      <c r="P63" s="109">
        <f>IF(N63,MIN(1,O63/N63),"")</f>
        <v>0</v>
      </c>
      <c r="Q63" s="1337"/>
      <c r="R63" s="1305"/>
      <c r="S63" s="165"/>
      <c r="T63" s="257"/>
    </row>
    <row r="64" spans="1:20" ht="31.5" customHeight="1">
      <c r="A64" s="1357"/>
      <c r="B64" s="167">
        <f t="shared" si="53"/>
        <v>42</v>
      </c>
      <c r="C64" s="170" t="s">
        <v>317</v>
      </c>
      <c r="D64" s="126"/>
      <c r="E64" s="61"/>
      <c r="F64" s="61"/>
      <c r="G64" s="61"/>
      <c r="H64" s="60"/>
      <c r="I64" s="356"/>
      <c r="J64" s="356">
        <v>9000</v>
      </c>
      <c r="K64" s="357">
        <f t="shared" si="51"/>
        <v>9000</v>
      </c>
      <c r="L64" s="183"/>
      <c r="M64" s="171"/>
      <c r="N64" s="172">
        <v>1</v>
      </c>
      <c r="O64" s="58">
        <v>1</v>
      </c>
      <c r="P64" s="109"/>
      <c r="Q64" s="1337"/>
      <c r="R64" s="1305"/>
      <c r="S64" s="165"/>
      <c r="T64" s="257">
        <v>615.86</v>
      </c>
    </row>
    <row r="65" spans="1:20" ht="31.5" customHeight="1">
      <c r="A65" s="1357"/>
      <c r="B65" s="167">
        <f t="shared" si="53"/>
        <v>43</v>
      </c>
      <c r="C65" s="170" t="s">
        <v>318</v>
      </c>
      <c r="D65" s="126"/>
      <c r="E65" s="61"/>
      <c r="F65" s="61"/>
      <c r="G65" s="61"/>
      <c r="H65" s="60"/>
      <c r="I65" s="356"/>
      <c r="J65" s="356"/>
      <c r="K65" s="357">
        <f t="shared" si="51"/>
        <v>0</v>
      </c>
      <c r="L65" s="183"/>
      <c r="M65" s="110"/>
      <c r="N65" s="172">
        <v>0</v>
      </c>
      <c r="O65" s="58">
        <v>0</v>
      </c>
      <c r="P65" s="109" t="str">
        <f t="shared" ref="P65:P66" si="54">IF(N65,MIN(1,O65/N65),"")</f>
        <v/>
      </c>
      <c r="Q65" s="1337"/>
      <c r="R65" s="1305"/>
      <c r="S65" s="165"/>
      <c r="T65" s="257"/>
    </row>
    <row r="66" spans="1:20" ht="31.5" customHeight="1">
      <c r="A66" s="1357"/>
      <c r="B66" s="167">
        <f t="shared" si="53"/>
        <v>44</v>
      </c>
      <c r="C66" s="170" t="s">
        <v>319</v>
      </c>
      <c r="D66" s="127"/>
      <c r="E66" s="61"/>
      <c r="F66" s="61"/>
      <c r="G66" s="61"/>
      <c r="H66" s="60"/>
      <c r="I66" s="356"/>
      <c r="J66" s="356"/>
      <c r="K66" s="357">
        <f t="shared" si="51"/>
        <v>0</v>
      </c>
      <c r="L66" s="184"/>
      <c r="M66" s="110"/>
      <c r="N66" s="172">
        <v>0</v>
      </c>
      <c r="O66" s="58">
        <v>0</v>
      </c>
      <c r="P66" s="109" t="str">
        <f t="shared" si="54"/>
        <v/>
      </c>
      <c r="Q66" s="1338"/>
      <c r="R66" s="1305"/>
      <c r="S66" s="165"/>
      <c r="T66" s="257"/>
    </row>
    <row r="67" spans="1:20">
      <c r="A67" s="1358"/>
      <c r="B67" s="65"/>
      <c r="C67" s="81"/>
      <c r="D67" s="120"/>
      <c r="E67" s="67"/>
      <c r="F67" s="67"/>
      <c r="G67" s="67"/>
      <c r="H67" s="66"/>
      <c r="I67" s="359">
        <f t="shared" ref="I67:J67" si="55">SUM(I60:I66)</f>
        <v>0</v>
      </c>
      <c r="J67" s="359">
        <f t="shared" si="55"/>
        <v>106000</v>
      </c>
      <c r="K67" s="358">
        <f>SUM(K60:K66)</f>
        <v>106000</v>
      </c>
      <c r="L67" s="139"/>
      <c r="M67" s="111"/>
      <c r="N67" s="173">
        <f>SUM(N60:N66)</f>
        <v>147</v>
      </c>
      <c r="O67" s="68">
        <f>SUM(O60:O66)</f>
        <v>5</v>
      </c>
      <c r="P67" s="69">
        <f>IFERROR(AVERAGE(P60:P66),"")</f>
        <v>0.33333333333333331</v>
      </c>
      <c r="Q67" s="69">
        <f>IFERROR(AVERAGE(P46:P51,P53:P58,P60:P66),"")</f>
        <v>0.38666666666666666</v>
      </c>
      <c r="R67" s="1305"/>
      <c r="S67" s="352">
        <f>SUM(S60:S66)</f>
        <v>0</v>
      </c>
      <c r="T67" s="70">
        <f t="shared" ref="T67" si="56">SUM(T60:T66)</f>
        <v>30887.58</v>
      </c>
    </row>
    <row r="68" spans="1:20" ht="30.75" customHeight="1">
      <c r="A68" s="360" t="s">
        <v>320</v>
      </c>
      <c r="B68" s="361"/>
      <c r="C68" s="361"/>
      <c r="D68" s="362"/>
      <c r="E68" s="363" t="s">
        <v>248</v>
      </c>
      <c r="F68" s="364" t="s">
        <v>249</v>
      </c>
      <c r="G68" s="364" t="s">
        <v>250</v>
      </c>
      <c r="H68" s="365" t="s">
        <v>251</v>
      </c>
      <c r="I68" s="389">
        <f t="shared" ref="I68:J68" si="57">I73+I79+I84</f>
        <v>0</v>
      </c>
      <c r="J68" s="384">
        <f t="shared" si="57"/>
        <v>200500</v>
      </c>
      <c r="K68" s="385">
        <f>K73+K79+K84</f>
        <v>200500</v>
      </c>
      <c r="L68" s="366"/>
      <c r="M68" s="367"/>
      <c r="N68" s="368"/>
      <c r="O68" s="369"/>
      <c r="P68" s="370"/>
      <c r="Q68" s="371"/>
      <c r="R68" s="1305"/>
      <c r="S68" s="373">
        <f t="shared" ref="S68:T68" si="58">S73+S79+S84</f>
        <v>0</v>
      </c>
      <c r="T68" s="374">
        <f t="shared" si="58"/>
        <v>19047.019999999997</v>
      </c>
    </row>
    <row r="69" spans="1:20" ht="30.65" customHeight="1">
      <c r="A69" s="1347" t="s">
        <v>321</v>
      </c>
      <c r="B69" s="167">
        <f>B66+1</f>
        <v>45</v>
      </c>
      <c r="C69" s="170" t="s">
        <v>322</v>
      </c>
      <c r="D69" s="176"/>
      <c r="E69" s="61"/>
      <c r="F69" s="61"/>
      <c r="G69" s="61"/>
      <c r="H69" s="60"/>
      <c r="I69" s="356"/>
      <c r="J69" s="356"/>
      <c r="K69" s="357">
        <f t="shared" ref="K69:K72" si="59">I69+J69</f>
        <v>0</v>
      </c>
      <c r="L69" s="182"/>
      <c r="M69" s="171"/>
      <c r="N69" s="1125">
        <v>0</v>
      </c>
      <c r="O69" s="58">
        <v>0</v>
      </c>
      <c r="P69" s="109" t="str">
        <f t="shared" ref="P69:P72" si="60">IF(N69,MIN(1,O69/N69),"")</f>
        <v/>
      </c>
      <c r="Q69" s="1339"/>
      <c r="R69" s="1305"/>
      <c r="S69" s="165"/>
      <c r="T69" s="257"/>
    </row>
    <row r="70" spans="1:20" ht="30.65" customHeight="1">
      <c r="A70" s="1303"/>
      <c r="B70" s="167">
        <f>B69+1</f>
        <v>46</v>
      </c>
      <c r="C70" s="170" t="s">
        <v>323</v>
      </c>
      <c r="D70" s="177"/>
      <c r="E70" s="61"/>
      <c r="F70" s="61"/>
      <c r="G70" s="61"/>
      <c r="H70" s="60"/>
      <c r="I70" s="356"/>
      <c r="J70" s="356">
        <v>25000</v>
      </c>
      <c r="K70" s="357">
        <f t="shared" si="59"/>
        <v>25000</v>
      </c>
      <c r="L70" s="183"/>
      <c r="M70" s="171"/>
      <c r="N70" s="1125">
        <v>1</v>
      </c>
      <c r="O70" s="58">
        <v>0</v>
      </c>
      <c r="P70" s="109">
        <f t="shared" si="60"/>
        <v>0</v>
      </c>
      <c r="Q70" s="1305"/>
      <c r="R70" s="1305"/>
      <c r="S70" s="165"/>
      <c r="T70" s="257"/>
    </row>
    <row r="71" spans="1:20" ht="30.65" customHeight="1">
      <c r="A71" s="1348"/>
      <c r="B71" s="167">
        <f t="shared" ref="B71:B72" si="61">B70+1</f>
        <v>47</v>
      </c>
      <c r="C71" s="170" t="s">
        <v>324</v>
      </c>
      <c r="D71" s="126"/>
      <c r="E71" s="61"/>
      <c r="F71" s="61"/>
      <c r="G71" s="61"/>
      <c r="H71" s="60"/>
      <c r="I71" s="356"/>
      <c r="J71" s="356">
        <v>2500</v>
      </c>
      <c r="K71" s="357">
        <f t="shared" si="59"/>
        <v>2500</v>
      </c>
      <c r="L71" s="183"/>
      <c r="M71" s="171"/>
      <c r="N71" s="1125">
        <v>1</v>
      </c>
      <c r="O71" s="58">
        <v>1</v>
      </c>
      <c r="P71" s="109">
        <f t="shared" si="60"/>
        <v>1</v>
      </c>
      <c r="Q71" s="1305"/>
      <c r="R71" s="1305"/>
      <c r="S71" s="165"/>
      <c r="T71" s="257">
        <v>2041.38</v>
      </c>
    </row>
    <row r="72" spans="1:20" ht="30.65" customHeight="1">
      <c r="A72" s="1348"/>
      <c r="B72" s="167">
        <f t="shared" si="61"/>
        <v>48</v>
      </c>
      <c r="C72" s="170" t="s">
        <v>325</v>
      </c>
      <c r="D72" s="127"/>
      <c r="E72" s="61"/>
      <c r="F72" s="61"/>
      <c r="G72" s="61"/>
      <c r="H72" s="60"/>
      <c r="I72" s="356"/>
      <c r="J72" s="356">
        <v>20000</v>
      </c>
      <c r="K72" s="357">
        <f t="shared" si="59"/>
        <v>20000</v>
      </c>
      <c r="L72" s="184"/>
      <c r="M72" s="171"/>
      <c r="N72" s="1125">
        <v>2</v>
      </c>
      <c r="O72" s="58">
        <v>2</v>
      </c>
      <c r="P72" s="109">
        <f t="shared" si="60"/>
        <v>1</v>
      </c>
      <c r="Q72" s="1305"/>
      <c r="R72" s="1305"/>
      <c r="S72" s="165"/>
      <c r="T72" s="257">
        <v>9570.8799999999992</v>
      </c>
    </row>
    <row r="73" spans="1:20">
      <c r="A73" s="1348"/>
      <c r="B73" s="65"/>
      <c r="C73" s="81"/>
      <c r="D73" s="120"/>
      <c r="E73" s="67"/>
      <c r="F73" s="67"/>
      <c r="G73" s="67"/>
      <c r="H73" s="66"/>
      <c r="I73" s="359">
        <f t="shared" ref="I73:J73" si="62">SUM(I69:I72)</f>
        <v>0</v>
      </c>
      <c r="J73" s="359">
        <f t="shared" si="62"/>
        <v>47500</v>
      </c>
      <c r="K73" s="358">
        <f>SUM(K69:K72)</f>
        <v>47500</v>
      </c>
      <c r="L73" s="139"/>
      <c r="M73" s="111"/>
      <c r="N73" s="173">
        <f>SUM(N69:N72)</f>
        <v>4</v>
      </c>
      <c r="O73" s="68">
        <f>SUM(O69:O72)</f>
        <v>3</v>
      </c>
      <c r="P73" s="69">
        <f>IFERROR(AVERAGE(P69:P72),"")</f>
        <v>0.66666666666666663</v>
      </c>
      <c r="Q73" s="1305"/>
      <c r="R73" s="1305"/>
      <c r="S73" s="352">
        <f>SUM(S69:S72)</f>
        <v>0</v>
      </c>
      <c r="T73" s="70">
        <f>SUM(T69:T72)</f>
        <v>11612.259999999998</v>
      </c>
    </row>
    <row r="74" spans="1:20" ht="30.65" customHeight="1">
      <c r="A74" s="1359" t="s">
        <v>326</v>
      </c>
      <c r="B74" s="167">
        <f>B72+1</f>
        <v>49</v>
      </c>
      <c r="C74" s="170" t="s">
        <v>327</v>
      </c>
      <c r="D74" s="176"/>
      <c r="E74" s="61"/>
      <c r="F74" s="61"/>
      <c r="G74" s="61"/>
      <c r="H74" s="60"/>
      <c r="I74" s="356"/>
      <c r="J74" s="356"/>
      <c r="K74" s="357">
        <f t="shared" ref="K74:K78" si="63">I74+J74</f>
        <v>0</v>
      </c>
      <c r="L74" s="182"/>
      <c r="M74" s="171"/>
      <c r="N74" s="1125">
        <v>0</v>
      </c>
      <c r="O74" s="58">
        <v>0</v>
      </c>
      <c r="P74" s="109" t="str">
        <f t="shared" ref="P74:P78" si="64">IF(N74,MIN(1,O74/N74),"")</f>
        <v/>
      </c>
      <c r="Q74" s="1305"/>
      <c r="R74" s="1305"/>
      <c r="S74" s="165"/>
      <c r="T74" s="257"/>
    </row>
    <row r="75" spans="1:20" ht="30.65" customHeight="1">
      <c r="A75" s="1359"/>
      <c r="B75" s="167">
        <f>B74+1</f>
        <v>50</v>
      </c>
      <c r="C75" s="170" t="s">
        <v>328</v>
      </c>
      <c r="D75" s="177"/>
      <c r="E75" s="61"/>
      <c r="F75" s="61"/>
      <c r="G75" s="61"/>
      <c r="H75" s="60"/>
      <c r="I75" s="356"/>
      <c r="J75" s="356">
        <v>4000</v>
      </c>
      <c r="K75" s="357">
        <f t="shared" si="63"/>
        <v>4000</v>
      </c>
      <c r="L75" s="183"/>
      <c r="M75" s="171"/>
      <c r="N75" s="1125">
        <v>1</v>
      </c>
      <c r="O75" s="58">
        <v>0</v>
      </c>
      <c r="P75" s="109">
        <f t="shared" si="64"/>
        <v>0</v>
      </c>
      <c r="Q75" s="1305"/>
      <c r="R75" s="1305"/>
      <c r="S75" s="165"/>
      <c r="T75" s="257"/>
    </row>
    <row r="76" spans="1:20" ht="30.65" customHeight="1">
      <c r="A76" s="1359"/>
      <c r="B76" s="167">
        <f t="shared" ref="B76:B78" si="65">B75+1</f>
        <v>51</v>
      </c>
      <c r="C76" s="170" t="s">
        <v>329</v>
      </c>
      <c r="D76" s="177"/>
      <c r="E76" s="61"/>
      <c r="F76" s="61"/>
      <c r="G76" s="61"/>
      <c r="H76" s="60"/>
      <c r="I76" s="356"/>
      <c r="J76" s="356">
        <v>4000</v>
      </c>
      <c r="K76" s="357">
        <f t="shared" si="63"/>
        <v>4000</v>
      </c>
      <c r="L76" s="183"/>
      <c r="M76" s="171"/>
      <c r="N76" s="1125">
        <v>1</v>
      </c>
      <c r="O76" s="58">
        <v>1</v>
      </c>
      <c r="P76" s="109">
        <f t="shared" si="64"/>
        <v>1</v>
      </c>
      <c r="Q76" s="1305"/>
      <c r="R76" s="1305"/>
      <c r="S76" s="165"/>
      <c r="T76" s="257">
        <v>3676.93</v>
      </c>
    </row>
    <row r="77" spans="1:20" ht="30.65" customHeight="1">
      <c r="A77" s="1348"/>
      <c r="B77" s="167">
        <f t="shared" si="65"/>
        <v>52</v>
      </c>
      <c r="C77" s="170" t="s">
        <v>330</v>
      </c>
      <c r="D77" s="177"/>
      <c r="E77" s="61"/>
      <c r="F77" s="61"/>
      <c r="G77" s="61"/>
      <c r="H77" s="60"/>
      <c r="I77" s="356"/>
      <c r="J77" s="356">
        <v>120000</v>
      </c>
      <c r="K77" s="357">
        <f t="shared" si="63"/>
        <v>120000</v>
      </c>
      <c r="L77" s="183"/>
      <c r="M77" s="171"/>
      <c r="N77" s="1125">
        <v>1</v>
      </c>
      <c r="O77" s="58">
        <v>0</v>
      </c>
      <c r="P77" s="109">
        <f t="shared" si="64"/>
        <v>0</v>
      </c>
      <c r="Q77" s="1305"/>
      <c r="R77" s="1305"/>
      <c r="S77" s="165"/>
      <c r="T77" s="257"/>
    </row>
    <row r="78" spans="1:20" ht="30.65" customHeight="1">
      <c r="A78" s="1348"/>
      <c r="B78" s="167">
        <f t="shared" si="65"/>
        <v>53</v>
      </c>
      <c r="C78" s="170" t="s">
        <v>331</v>
      </c>
      <c r="D78" s="127"/>
      <c r="E78" s="61"/>
      <c r="F78" s="61"/>
      <c r="G78" s="61"/>
      <c r="H78" s="60"/>
      <c r="I78" s="356"/>
      <c r="J78" s="356">
        <v>5000</v>
      </c>
      <c r="K78" s="357">
        <f t="shared" si="63"/>
        <v>5000</v>
      </c>
      <c r="L78" s="184"/>
      <c r="M78" s="1126"/>
      <c r="N78" s="1125">
        <v>2</v>
      </c>
      <c r="O78" s="58">
        <v>2</v>
      </c>
      <c r="P78" s="109">
        <f t="shared" si="64"/>
        <v>1</v>
      </c>
      <c r="Q78" s="1305"/>
      <c r="R78" s="1305"/>
      <c r="S78" s="165"/>
      <c r="T78" s="257">
        <v>3757.83</v>
      </c>
    </row>
    <row r="79" spans="1:20">
      <c r="A79" s="1348"/>
      <c r="B79" s="65"/>
      <c r="C79" s="81"/>
      <c r="D79" s="120"/>
      <c r="E79" s="67"/>
      <c r="F79" s="67"/>
      <c r="G79" s="67"/>
      <c r="H79" s="66"/>
      <c r="I79" s="359">
        <f t="shared" ref="I79:J79" si="66">SUM(I74:I78)</f>
        <v>0</v>
      </c>
      <c r="J79" s="359">
        <f t="shared" si="66"/>
        <v>133000</v>
      </c>
      <c r="K79" s="358">
        <f>SUM(K74:K78)</f>
        <v>133000</v>
      </c>
      <c r="L79" s="139"/>
      <c r="M79" s="111"/>
      <c r="N79" s="173">
        <f>SUM(N74:N78)</f>
        <v>5</v>
      </c>
      <c r="O79" s="68">
        <f>SUM(O74:O78)</f>
        <v>3</v>
      </c>
      <c r="P79" s="69">
        <f>IFERROR(AVERAGE(P74:P78),"")</f>
        <v>0.5</v>
      </c>
      <c r="Q79" s="1305"/>
      <c r="R79" s="1305"/>
      <c r="S79" s="352">
        <f>SUM(S74:S78)</f>
        <v>0</v>
      </c>
      <c r="T79" s="70">
        <f>SUM(T74:T78)</f>
        <v>7434.76</v>
      </c>
    </row>
    <row r="80" spans="1:20" ht="30.65" customHeight="1">
      <c r="A80" s="1347" t="s">
        <v>332</v>
      </c>
      <c r="B80" s="167">
        <f>B78+1</f>
        <v>54</v>
      </c>
      <c r="C80" s="170" t="s">
        <v>333</v>
      </c>
      <c r="D80" s="176"/>
      <c r="E80" s="61"/>
      <c r="F80" s="61"/>
      <c r="G80" s="61"/>
      <c r="H80" s="60"/>
      <c r="I80" s="356"/>
      <c r="J80" s="356"/>
      <c r="K80" s="357">
        <f t="shared" ref="K80:K83" si="67">I80+J80</f>
        <v>0</v>
      </c>
      <c r="L80" s="182"/>
      <c r="M80" s="171"/>
      <c r="N80" s="1125">
        <v>0</v>
      </c>
      <c r="O80" s="58">
        <v>0</v>
      </c>
      <c r="P80" s="109" t="str">
        <f t="shared" ref="P80:P81" si="68">IF(N80,MIN(1,O80/N80),"")</f>
        <v/>
      </c>
      <c r="Q80" s="1305"/>
      <c r="R80" s="1305"/>
      <c r="S80" s="165"/>
      <c r="T80" s="257"/>
    </row>
    <row r="81" spans="1:20" ht="30.65" customHeight="1">
      <c r="A81" s="1303"/>
      <c r="B81" s="167">
        <f>B80+1</f>
        <v>55</v>
      </c>
      <c r="C81" s="170" t="s">
        <v>334</v>
      </c>
      <c r="D81" s="177"/>
      <c r="E81" s="61"/>
      <c r="F81" s="61"/>
      <c r="G81" s="61"/>
      <c r="H81" s="60"/>
      <c r="I81" s="356"/>
      <c r="J81" s="356">
        <v>20000</v>
      </c>
      <c r="K81" s="357">
        <f t="shared" si="67"/>
        <v>20000</v>
      </c>
      <c r="L81" s="183"/>
      <c r="M81" s="171"/>
      <c r="N81" s="1125">
        <v>4</v>
      </c>
      <c r="O81" s="58">
        <v>0</v>
      </c>
      <c r="P81" s="109">
        <f t="shared" si="68"/>
        <v>0</v>
      </c>
      <c r="Q81" s="1305"/>
      <c r="R81" s="1305"/>
      <c r="S81" s="165"/>
      <c r="T81" s="257"/>
    </row>
    <row r="82" spans="1:20" ht="30.65" customHeight="1">
      <c r="A82" s="1348"/>
      <c r="B82" s="167">
        <f t="shared" ref="B82:B83" si="69">B81+1</f>
        <v>56</v>
      </c>
      <c r="C82" s="170" t="s">
        <v>335</v>
      </c>
      <c r="D82" s="126"/>
      <c r="E82" s="61"/>
      <c r="F82" s="61"/>
      <c r="G82" s="61"/>
      <c r="H82" s="60"/>
      <c r="I82" s="356"/>
      <c r="J82" s="356"/>
      <c r="K82" s="357">
        <f t="shared" si="67"/>
        <v>0</v>
      </c>
      <c r="L82" s="183"/>
      <c r="M82" s="171"/>
      <c r="N82" s="1125">
        <v>0</v>
      </c>
      <c r="O82" s="58">
        <v>0</v>
      </c>
      <c r="P82" s="109" t="str">
        <f t="shared" ref="P82:P83" si="70">IF(N82,MIN(1,O82/N82),"")</f>
        <v/>
      </c>
      <c r="Q82" s="1305"/>
      <c r="R82" s="1305"/>
      <c r="S82" s="165"/>
      <c r="T82" s="257"/>
    </row>
    <row r="83" spans="1:20" ht="30.65" customHeight="1">
      <c r="A83" s="1348"/>
      <c r="B83" s="167">
        <f t="shared" si="69"/>
        <v>57</v>
      </c>
      <c r="C83" s="170" t="s">
        <v>336</v>
      </c>
      <c r="D83" s="127"/>
      <c r="E83" s="61"/>
      <c r="F83" s="61"/>
      <c r="G83" s="61"/>
      <c r="H83" s="60"/>
      <c r="I83" s="356"/>
      <c r="J83" s="356"/>
      <c r="K83" s="357">
        <f t="shared" si="67"/>
        <v>0</v>
      </c>
      <c r="L83" s="184"/>
      <c r="M83" s="171"/>
      <c r="N83" s="1125">
        <v>0</v>
      </c>
      <c r="O83" s="58">
        <v>0</v>
      </c>
      <c r="P83" s="109" t="str">
        <f t="shared" si="70"/>
        <v/>
      </c>
      <c r="Q83" s="1305"/>
      <c r="R83" s="1305"/>
      <c r="S83" s="165"/>
      <c r="T83" s="257"/>
    </row>
    <row r="84" spans="1:20">
      <c r="A84" s="1348"/>
      <c r="B84" s="65"/>
      <c r="C84" s="81"/>
      <c r="D84" s="120"/>
      <c r="E84" s="67"/>
      <c r="F84" s="67"/>
      <c r="G84" s="67"/>
      <c r="H84" s="66"/>
      <c r="I84" s="359">
        <f t="shared" ref="I84" si="71">SUM(I80:I83)</f>
        <v>0</v>
      </c>
      <c r="J84" s="359">
        <f t="shared" ref="J84" si="72">SUM(J80:J83)</f>
        <v>20000</v>
      </c>
      <c r="K84" s="358">
        <f>SUM(K80:K83)</f>
        <v>20000</v>
      </c>
      <c r="L84" s="139"/>
      <c r="M84" s="111"/>
      <c r="N84" s="173">
        <f>SUM(N80:N83)</f>
        <v>4</v>
      </c>
      <c r="O84" s="68">
        <f>SUM(O80:O83)</f>
        <v>0</v>
      </c>
      <c r="P84" s="69">
        <f>IFERROR(AVERAGE(P80:P83),"")</f>
        <v>0</v>
      </c>
      <c r="Q84" s="69">
        <f>IFERROR(AVERAGE(P69:P72,P74:P78,P80:P83),"")</f>
        <v>0.5</v>
      </c>
      <c r="R84" s="1305"/>
      <c r="S84" s="352">
        <f>SUM(S80:S83)</f>
        <v>0</v>
      </c>
      <c r="T84" s="70">
        <f>SUM(T80:T83)</f>
        <v>0</v>
      </c>
    </row>
    <row r="85" spans="1:20" ht="30.75" customHeight="1">
      <c r="A85" s="360" t="s">
        <v>337</v>
      </c>
      <c r="B85" s="361"/>
      <c r="C85" s="361"/>
      <c r="D85" s="362"/>
      <c r="E85" s="363" t="s">
        <v>248</v>
      </c>
      <c r="F85" s="364" t="s">
        <v>249</v>
      </c>
      <c r="G85" s="364" t="s">
        <v>250</v>
      </c>
      <c r="H85" s="365" t="s">
        <v>251</v>
      </c>
      <c r="I85" s="389">
        <f t="shared" ref="I85:J85" si="73">I89+I94</f>
        <v>0</v>
      </c>
      <c r="J85" s="384">
        <f t="shared" si="73"/>
        <v>20954.545454545456</v>
      </c>
      <c r="K85" s="385">
        <f>K89+K94</f>
        <v>20954.545454545456</v>
      </c>
      <c r="L85" s="366"/>
      <c r="M85" s="367"/>
      <c r="N85" s="368"/>
      <c r="O85" s="369"/>
      <c r="P85" s="370"/>
      <c r="Q85" s="371"/>
      <c r="R85" s="1305"/>
      <c r="S85" s="373">
        <f t="shared" ref="S85:T85" si="74">S89+S94</f>
        <v>0</v>
      </c>
      <c r="T85" s="374">
        <f t="shared" si="74"/>
        <v>12172.869999999999</v>
      </c>
    </row>
    <row r="86" spans="1:20" ht="30.65" customHeight="1">
      <c r="A86" s="1347" t="s">
        <v>338</v>
      </c>
      <c r="B86" s="167">
        <f>B83+1</f>
        <v>58</v>
      </c>
      <c r="C86" s="170" t="s">
        <v>339</v>
      </c>
      <c r="D86" s="176"/>
      <c r="E86" s="61"/>
      <c r="F86" s="61"/>
      <c r="G86" s="61"/>
      <c r="H86" s="60"/>
      <c r="I86" s="356"/>
      <c r="J86" s="356">
        <v>5000</v>
      </c>
      <c r="K86" s="357">
        <f t="shared" ref="K86:K88" si="75">I86+J86</f>
        <v>5000</v>
      </c>
      <c r="L86" s="182"/>
      <c r="M86" s="171"/>
      <c r="N86" s="1125">
        <v>100</v>
      </c>
      <c r="O86" s="58">
        <v>0</v>
      </c>
      <c r="P86" s="109">
        <f t="shared" ref="P86:P87" si="76">IF(N86,MIN(1,O86/N86),"")</f>
        <v>0</v>
      </c>
      <c r="Q86" s="1340"/>
      <c r="R86" s="1305"/>
      <c r="S86" s="165"/>
      <c r="T86" s="257"/>
    </row>
    <row r="87" spans="1:20" ht="30.65" customHeight="1">
      <c r="A87" s="1303"/>
      <c r="B87" s="167">
        <f>B83+1</f>
        <v>58</v>
      </c>
      <c r="C87" s="170" t="s">
        <v>340</v>
      </c>
      <c r="D87" s="177"/>
      <c r="E87" s="61"/>
      <c r="F87" s="61"/>
      <c r="G87" s="61"/>
      <c r="H87" s="60"/>
      <c r="I87" s="356"/>
      <c r="J87" s="356"/>
      <c r="K87" s="357">
        <f t="shared" si="75"/>
        <v>0</v>
      </c>
      <c r="L87" s="183"/>
      <c r="M87" s="171"/>
      <c r="N87" s="1125">
        <v>0</v>
      </c>
      <c r="O87" s="58">
        <v>0</v>
      </c>
      <c r="P87" s="109" t="str">
        <f t="shared" si="76"/>
        <v/>
      </c>
      <c r="Q87" s="1341"/>
      <c r="R87" s="1305"/>
      <c r="S87" s="165"/>
      <c r="T87" s="257"/>
    </row>
    <row r="88" spans="1:20" ht="30.65" customHeight="1">
      <c r="A88" s="1348"/>
      <c r="B88" s="167">
        <f>B86+1</f>
        <v>59</v>
      </c>
      <c r="C88" s="170" t="s">
        <v>341</v>
      </c>
      <c r="D88" s="126"/>
      <c r="E88" s="61"/>
      <c r="F88" s="61"/>
      <c r="G88" s="61"/>
      <c r="H88" s="60"/>
      <c r="I88" s="356"/>
      <c r="J88" s="356"/>
      <c r="K88" s="357">
        <f t="shared" si="75"/>
        <v>0</v>
      </c>
      <c r="L88" s="183"/>
      <c r="M88" s="171"/>
      <c r="N88" s="1125">
        <v>0</v>
      </c>
      <c r="O88" s="58">
        <v>0</v>
      </c>
      <c r="P88" s="109" t="str">
        <f t="shared" ref="P88" si="77">IF(N88,MIN(1,O88/N88),"")</f>
        <v/>
      </c>
      <c r="Q88" s="1341"/>
      <c r="R88" s="1305"/>
      <c r="S88" s="165"/>
      <c r="T88" s="257"/>
    </row>
    <row r="89" spans="1:20">
      <c r="A89" s="1348"/>
      <c r="B89" s="65"/>
      <c r="C89" s="81"/>
      <c r="D89" s="120"/>
      <c r="E89" s="67"/>
      <c r="F89" s="67"/>
      <c r="G89" s="67"/>
      <c r="H89" s="66"/>
      <c r="I89" s="359">
        <f>SUM(I86:I88)</f>
        <v>0</v>
      </c>
      <c r="J89" s="359">
        <f>SUM(J86:J88)</f>
        <v>5000</v>
      </c>
      <c r="K89" s="358">
        <f>SUM(K86:K88)</f>
        <v>5000</v>
      </c>
      <c r="L89" s="139"/>
      <c r="M89" s="111"/>
      <c r="N89" s="768">
        <f>SUM(N86:N88)</f>
        <v>100</v>
      </c>
      <c r="O89" s="769">
        <f>SUM(O86:O88)</f>
        <v>0</v>
      </c>
      <c r="P89" s="69">
        <f>IFERROR(AVERAGE(P86:P88),"")</f>
        <v>0</v>
      </c>
      <c r="Q89" s="1341"/>
      <c r="R89" s="1305"/>
      <c r="S89" s="352">
        <f>SUM(S86:S88)</f>
        <v>0</v>
      </c>
      <c r="T89" s="70">
        <f>SUM(T86:T88)</f>
        <v>0</v>
      </c>
    </row>
    <row r="90" spans="1:20" ht="30.65" customHeight="1">
      <c r="A90" s="1347" t="s">
        <v>342</v>
      </c>
      <c r="B90" s="167">
        <f>B88+1</f>
        <v>60</v>
      </c>
      <c r="C90" s="170" t="s">
        <v>343</v>
      </c>
      <c r="D90" s="176"/>
      <c r="E90" s="61"/>
      <c r="F90" s="61"/>
      <c r="G90" s="61"/>
      <c r="H90" s="60"/>
      <c r="I90" s="356"/>
      <c r="J90" s="356"/>
      <c r="K90" s="357">
        <f t="shared" ref="K90:K93" si="78">I90+J90</f>
        <v>0</v>
      </c>
      <c r="L90" s="182"/>
      <c r="M90" s="171"/>
      <c r="N90" s="1125">
        <v>0</v>
      </c>
      <c r="O90" s="58">
        <v>0</v>
      </c>
      <c r="P90" s="109" t="str">
        <f t="shared" ref="P90:P91" si="79">IF(N90,MIN(1,O90/N90),"")</f>
        <v/>
      </c>
      <c r="Q90" s="1341"/>
      <c r="R90" s="1305"/>
      <c r="S90" s="165"/>
      <c r="T90" s="257"/>
    </row>
    <row r="91" spans="1:20" ht="30.65" customHeight="1">
      <c r="A91" s="1303"/>
      <c r="B91" s="167">
        <f>B90+1</f>
        <v>61</v>
      </c>
      <c r="C91" s="170" t="s">
        <v>344</v>
      </c>
      <c r="D91" s="177"/>
      <c r="E91" s="61"/>
      <c r="F91" s="61"/>
      <c r="G91" s="61"/>
      <c r="H91" s="60"/>
      <c r="I91" s="356"/>
      <c r="J91" s="356">
        <v>3000</v>
      </c>
      <c r="K91" s="357">
        <f t="shared" si="78"/>
        <v>3000</v>
      </c>
      <c r="L91" s="183"/>
      <c r="M91" s="171"/>
      <c r="N91" s="1125">
        <v>1</v>
      </c>
      <c r="O91" s="58">
        <v>1</v>
      </c>
      <c r="P91" s="109">
        <f t="shared" si="79"/>
        <v>1</v>
      </c>
      <c r="Q91" s="1341"/>
      <c r="R91" s="1305"/>
      <c r="S91" s="165"/>
      <c r="T91" s="257">
        <v>2729.32</v>
      </c>
    </row>
    <row r="92" spans="1:20" ht="30.65" customHeight="1">
      <c r="A92" s="1348"/>
      <c r="B92" s="167">
        <f t="shared" ref="B92:B93" si="80">B91+1</f>
        <v>62</v>
      </c>
      <c r="C92" s="170" t="s">
        <v>345</v>
      </c>
      <c r="D92" s="126"/>
      <c r="E92" s="61"/>
      <c r="F92" s="61"/>
      <c r="G92" s="61"/>
      <c r="H92" s="60"/>
      <c r="I92" s="356"/>
      <c r="J92" s="356">
        <v>4000</v>
      </c>
      <c r="K92" s="357">
        <f t="shared" si="78"/>
        <v>4000</v>
      </c>
      <c r="L92" s="183"/>
      <c r="M92" s="171"/>
      <c r="N92" s="1125">
        <v>2</v>
      </c>
      <c r="O92" s="58">
        <v>1</v>
      </c>
      <c r="P92" s="109">
        <f t="shared" ref="P92:P93" si="81">IF(N92,MIN(1,O92/N92),"")</f>
        <v>0.5</v>
      </c>
      <c r="Q92" s="1341"/>
      <c r="R92" s="1305"/>
      <c r="S92" s="165"/>
      <c r="T92" s="257">
        <v>1671.33</v>
      </c>
    </row>
    <row r="93" spans="1:20" ht="30.65" customHeight="1">
      <c r="A93" s="1348"/>
      <c r="B93" s="167">
        <f t="shared" si="80"/>
        <v>63</v>
      </c>
      <c r="C93" s="170" t="s">
        <v>346</v>
      </c>
      <c r="D93" s="127"/>
      <c r="E93" s="61"/>
      <c r="F93" s="61"/>
      <c r="G93" s="61"/>
      <c r="H93" s="60"/>
      <c r="I93" s="356"/>
      <c r="J93" s="356">
        <v>8954.545454545454</v>
      </c>
      <c r="K93" s="357">
        <f t="shared" si="78"/>
        <v>8954.545454545454</v>
      </c>
      <c r="L93" s="184"/>
      <c r="M93" s="171"/>
      <c r="N93" s="1125">
        <v>1</v>
      </c>
      <c r="O93" s="58">
        <v>1</v>
      </c>
      <c r="P93" s="109">
        <f t="shared" si="81"/>
        <v>1</v>
      </c>
      <c r="Q93" s="1341"/>
      <c r="R93" s="1305"/>
      <c r="S93" s="165"/>
      <c r="T93" s="257">
        <v>7772.22</v>
      </c>
    </row>
    <row r="94" spans="1:20">
      <c r="A94" s="1348"/>
      <c r="B94" s="65"/>
      <c r="C94" s="81"/>
      <c r="D94" s="120"/>
      <c r="E94" s="67"/>
      <c r="F94" s="67"/>
      <c r="G94" s="67"/>
      <c r="H94" s="66"/>
      <c r="I94" s="359">
        <f t="shared" ref="I94" si="82">SUM(I90:I93)</f>
        <v>0</v>
      </c>
      <c r="J94" s="359">
        <f t="shared" ref="J94" si="83">SUM(J90:J93)</f>
        <v>15954.545454545454</v>
      </c>
      <c r="K94" s="358">
        <f>SUM(K90:K93)</f>
        <v>15954.545454545454</v>
      </c>
      <c r="L94" s="139"/>
      <c r="M94" s="111"/>
      <c r="N94" s="770">
        <f>SUM(N90:N93)</f>
        <v>4</v>
      </c>
      <c r="O94" s="771">
        <f>SUM(O90:O93)</f>
        <v>3</v>
      </c>
      <c r="P94" s="69">
        <f>IFERROR(AVERAGE(P90:P93),"")</f>
        <v>0.83333333333333337</v>
      </c>
      <c r="Q94" s="69">
        <f>IFERROR(AVERAGE(P86:P88,P90:P93),"")</f>
        <v>0.625</v>
      </c>
      <c r="R94" s="69">
        <f>IFERROR(AVERAGE(P46:P51,P53:P58,P60:P66,P69:P72,P74:P78,P80:P83,P86:P88,P90:P93),"")</f>
        <v>0.47523809523809524</v>
      </c>
      <c r="S94" s="352">
        <f>SUM(S90:S93)</f>
        <v>0</v>
      </c>
      <c r="T94" s="70">
        <f>SUM(T90:T93)</f>
        <v>12172.869999999999</v>
      </c>
    </row>
    <row r="95" spans="1:20" ht="111" customHeight="1">
      <c r="A95" s="339" t="s">
        <v>205</v>
      </c>
      <c r="B95" s="340"/>
      <c r="C95" s="340"/>
      <c r="D95" s="340"/>
      <c r="E95" s="340"/>
      <c r="F95" s="340"/>
      <c r="G95" s="340"/>
      <c r="H95" s="341"/>
      <c r="I95" s="387">
        <f t="shared" ref="I95:J95" si="84">I96+I107+I119</f>
        <v>0</v>
      </c>
      <c r="J95" s="388">
        <f t="shared" si="84"/>
        <v>101590.90909090909</v>
      </c>
      <c r="K95" s="386">
        <f>K96+K107+K119</f>
        <v>101590.90909090909</v>
      </c>
      <c r="L95" s="342"/>
      <c r="M95" s="343"/>
      <c r="N95" s="344"/>
      <c r="O95" s="345"/>
      <c r="P95" s="346"/>
      <c r="Q95" s="346"/>
      <c r="R95" s="347"/>
      <c r="S95" s="350">
        <f t="shared" ref="S95:T95" si="85">S96+S107+S119</f>
        <v>0</v>
      </c>
      <c r="T95" s="348">
        <f t="shared" si="85"/>
        <v>34625.79</v>
      </c>
    </row>
    <row r="96" spans="1:20" ht="30.65" customHeight="1">
      <c r="A96" s="360" t="s">
        <v>347</v>
      </c>
      <c r="B96" s="361"/>
      <c r="C96" s="361"/>
      <c r="D96" s="362"/>
      <c r="E96" s="363" t="s">
        <v>248</v>
      </c>
      <c r="F96" s="364" t="s">
        <v>249</v>
      </c>
      <c r="G96" s="364" t="s">
        <v>250</v>
      </c>
      <c r="H96" s="365" t="s">
        <v>251</v>
      </c>
      <c r="I96" s="389">
        <f t="shared" ref="I96:J96" si="86">I100+I106</f>
        <v>0</v>
      </c>
      <c r="J96" s="384">
        <f t="shared" si="86"/>
        <v>56000</v>
      </c>
      <c r="K96" s="385">
        <f>K100+K106</f>
        <v>56000</v>
      </c>
      <c r="L96" s="366"/>
      <c r="M96" s="367"/>
      <c r="N96" s="772"/>
      <c r="O96" s="773"/>
      <c r="P96" s="370"/>
      <c r="Q96" s="371"/>
      <c r="R96" s="372"/>
      <c r="S96" s="373">
        <f t="shared" ref="S96:T96" si="87">S100+S106</f>
        <v>0</v>
      </c>
      <c r="T96" s="374">
        <f t="shared" si="87"/>
        <v>28067.850000000002</v>
      </c>
    </row>
    <row r="97" spans="1:20" ht="30.65" customHeight="1">
      <c r="A97" s="1301" t="s">
        <v>348</v>
      </c>
      <c r="B97" s="167">
        <f>B93+1</f>
        <v>64</v>
      </c>
      <c r="C97" s="170" t="s">
        <v>349</v>
      </c>
      <c r="D97" s="176"/>
      <c r="E97" s="61"/>
      <c r="F97" s="61"/>
      <c r="G97" s="61"/>
      <c r="H97" s="60"/>
      <c r="I97" s="356"/>
      <c r="J97" s="356">
        <v>8500</v>
      </c>
      <c r="K97" s="357">
        <f t="shared" ref="K97:K99" si="88">I97+J97</f>
        <v>8500</v>
      </c>
      <c r="L97" s="182"/>
      <c r="M97" s="171"/>
      <c r="N97" s="1125">
        <v>1</v>
      </c>
      <c r="O97" s="58">
        <v>1</v>
      </c>
      <c r="P97" s="108">
        <f t="shared" ref="P97:P99" si="89">IF(N97,MIN(1,O97/N97),"")</f>
        <v>1</v>
      </c>
      <c r="Q97" s="1336"/>
      <c r="R97" s="1342"/>
      <c r="S97" s="165"/>
      <c r="T97" s="257">
        <v>3357.78</v>
      </c>
    </row>
    <row r="98" spans="1:20" ht="30.65" customHeight="1">
      <c r="A98" s="1310"/>
      <c r="B98" s="167">
        <f>B97+1</f>
        <v>65</v>
      </c>
      <c r="C98" s="170" t="s">
        <v>350</v>
      </c>
      <c r="D98" s="177"/>
      <c r="E98" s="61"/>
      <c r="F98" s="61"/>
      <c r="G98" s="61"/>
      <c r="H98" s="60"/>
      <c r="I98" s="356"/>
      <c r="J98" s="356">
        <v>3000</v>
      </c>
      <c r="K98" s="357">
        <f t="shared" si="88"/>
        <v>3000</v>
      </c>
      <c r="L98" s="183"/>
      <c r="M98" s="171"/>
      <c r="N98" s="1125">
        <v>1</v>
      </c>
      <c r="O98" s="58">
        <v>0</v>
      </c>
      <c r="P98" s="108">
        <f t="shared" si="89"/>
        <v>0</v>
      </c>
      <c r="Q98" s="1337"/>
      <c r="R98" s="1343"/>
      <c r="S98" s="165"/>
      <c r="T98" s="257"/>
    </row>
    <row r="99" spans="1:20" ht="30.65" customHeight="1">
      <c r="A99" s="1310"/>
      <c r="B99" s="167">
        <f>B98+1</f>
        <v>66</v>
      </c>
      <c r="C99" s="170" t="s">
        <v>351</v>
      </c>
      <c r="D99" s="178"/>
      <c r="E99" s="61"/>
      <c r="F99" s="61"/>
      <c r="G99" s="61"/>
      <c r="H99" s="60"/>
      <c r="I99" s="356"/>
      <c r="J99" s="356">
        <v>3000</v>
      </c>
      <c r="K99" s="357">
        <f t="shared" si="88"/>
        <v>3000</v>
      </c>
      <c r="L99" s="184"/>
      <c r="M99" s="171"/>
      <c r="N99" s="1125">
        <v>1</v>
      </c>
      <c r="O99" s="58">
        <v>1</v>
      </c>
      <c r="P99" s="108">
        <f t="shared" si="89"/>
        <v>1</v>
      </c>
      <c r="Q99" s="1337"/>
      <c r="R99" s="1343"/>
      <c r="S99" s="165"/>
      <c r="T99" s="257">
        <v>1195.53</v>
      </c>
    </row>
    <row r="100" spans="1:20">
      <c r="A100" s="1355"/>
      <c r="B100" s="65"/>
      <c r="C100" s="81"/>
      <c r="D100" s="120"/>
      <c r="E100" s="67"/>
      <c r="F100" s="67"/>
      <c r="G100" s="67"/>
      <c r="H100" s="66"/>
      <c r="I100" s="359">
        <f t="shared" ref="I100:J100" si="90">SUM(I97:I99)</f>
        <v>0</v>
      </c>
      <c r="J100" s="359">
        <f t="shared" si="90"/>
        <v>14500</v>
      </c>
      <c r="K100" s="358">
        <f>SUM(K97:K99)</f>
        <v>14500</v>
      </c>
      <c r="L100" s="139"/>
      <c r="M100" s="111"/>
      <c r="N100" s="770">
        <f>SUM(N97:N99)</f>
        <v>3</v>
      </c>
      <c r="O100" s="771">
        <f>SUM(O97:O99)</f>
        <v>2</v>
      </c>
      <c r="P100" s="69">
        <f>IFERROR(AVERAGE(P97:P99),"")</f>
        <v>0.66666666666666663</v>
      </c>
      <c r="Q100" s="1337"/>
      <c r="R100" s="1343"/>
      <c r="S100" s="352">
        <f>SUM(S97:S99)</f>
        <v>0</v>
      </c>
      <c r="T100" s="70">
        <f>SUM(T97:T99)</f>
        <v>4553.3100000000004</v>
      </c>
    </row>
    <row r="101" spans="1:20" ht="31.5" customHeight="1">
      <c r="A101" s="1301" t="s">
        <v>352</v>
      </c>
      <c r="B101" s="167">
        <f>B99+1</f>
        <v>67</v>
      </c>
      <c r="C101" s="170" t="s">
        <v>353</v>
      </c>
      <c r="D101" s="176"/>
      <c r="E101" s="61"/>
      <c r="F101" s="61"/>
      <c r="G101" s="61"/>
      <c r="H101" s="60"/>
      <c r="I101" s="356"/>
      <c r="J101" s="356">
        <v>16000</v>
      </c>
      <c r="K101" s="357">
        <f t="shared" ref="K101:K105" si="91">I101+J101</f>
        <v>16000</v>
      </c>
      <c r="L101" s="182"/>
      <c r="M101" s="171"/>
      <c r="N101" s="1125">
        <v>8</v>
      </c>
      <c r="O101" s="58">
        <v>8</v>
      </c>
      <c r="P101" s="108">
        <f t="shared" ref="P101:P105" si="92">IF(N101,MIN(1,O101/N101),"")</f>
        <v>1</v>
      </c>
      <c r="Q101" s="1337"/>
      <c r="R101" s="1343"/>
      <c r="S101" s="165"/>
      <c r="T101" s="257">
        <v>14317.15</v>
      </c>
    </row>
    <row r="102" spans="1:20" ht="31.5" customHeight="1">
      <c r="A102" s="1302"/>
      <c r="B102" s="167">
        <f>B101+1</f>
        <v>68</v>
      </c>
      <c r="C102" s="170" t="s">
        <v>354</v>
      </c>
      <c r="D102" s="177"/>
      <c r="E102" s="61"/>
      <c r="F102" s="61"/>
      <c r="G102" s="61"/>
      <c r="H102" s="60"/>
      <c r="I102" s="356"/>
      <c r="J102" s="356"/>
      <c r="K102" s="357">
        <f t="shared" si="91"/>
        <v>0</v>
      </c>
      <c r="L102" s="183"/>
      <c r="M102" s="171"/>
      <c r="N102" s="1125">
        <v>0</v>
      </c>
      <c r="O102" s="58">
        <v>0</v>
      </c>
      <c r="P102" s="108" t="str">
        <f t="shared" si="92"/>
        <v/>
      </c>
      <c r="Q102" s="1337"/>
      <c r="R102" s="1343"/>
      <c r="S102" s="165"/>
      <c r="T102" s="257"/>
    </row>
    <row r="103" spans="1:20" ht="31.5" customHeight="1">
      <c r="A103" s="1302"/>
      <c r="B103" s="167">
        <f>B102+1</f>
        <v>69</v>
      </c>
      <c r="C103" s="170" t="s">
        <v>355</v>
      </c>
      <c r="D103" s="177"/>
      <c r="E103" s="61"/>
      <c r="F103" s="61"/>
      <c r="G103" s="61"/>
      <c r="H103" s="60"/>
      <c r="I103" s="356"/>
      <c r="J103" s="356">
        <v>8000</v>
      </c>
      <c r="K103" s="357">
        <f t="shared" si="91"/>
        <v>8000</v>
      </c>
      <c r="L103" s="183"/>
      <c r="M103" s="171"/>
      <c r="N103" s="1125">
        <v>4</v>
      </c>
      <c r="O103" s="58">
        <v>4</v>
      </c>
      <c r="P103" s="108">
        <f t="shared" si="92"/>
        <v>1</v>
      </c>
      <c r="Q103" s="1337"/>
      <c r="R103" s="1343"/>
      <c r="S103" s="165"/>
      <c r="T103" s="257">
        <v>6104.8</v>
      </c>
    </row>
    <row r="104" spans="1:20" ht="31.5" customHeight="1">
      <c r="A104" s="1310"/>
      <c r="B104" s="167">
        <f t="shared" ref="B104:B105" si="93">B103+1</f>
        <v>70</v>
      </c>
      <c r="C104" s="170" t="s">
        <v>356</v>
      </c>
      <c r="D104" s="177"/>
      <c r="E104" s="61"/>
      <c r="F104" s="61"/>
      <c r="G104" s="61"/>
      <c r="H104" s="60"/>
      <c r="I104" s="356"/>
      <c r="J104" s="356"/>
      <c r="K104" s="357">
        <f t="shared" si="91"/>
        <v>0</v>
      </c>
      <c r="L104" s="183"/>
      <c r="M104" s="171"/>
      <c r="N104" s="1125">
        <v>0</v>
      </c>
      <c r="O104" s="58">
        <v>0</v>
      </c>
      <c r="P104" s="108" t="str">
        <f t="shared" si="92"/>
        <v/>
      </c>
      <c r="Q104" s="1337"/>
      <c r="R104" s="1343"/>
      <c r="S104" s="165"/>
      <c r="T104" s="257"/>
    </row>
    <row r="105" spans="1:20" ht="31.5" customHeight="1">
      <c r="A105" s="1310"/>
      <c r="B105" s="167">
        <f t="shared" si="93"/>
        <v>71</v>
      </c>
      <c r="C105" s="170" t="s">
        <v>357</v>
      </c>
      <c r="D105" s="178"/>
      <c r="E105" s="61"/>
      <c r="F105" s="61"/>
      <c r="G105" s="61"/>
      <c r="H105" s="60"/>
      <c r="I105" s="356"/>
      <c r="J105" s="356">
        <v>17500</v>
      </c>
      <c r="K105" s="357">
        <f t="shared" si="91"/>
        <v>17500</v>
      </c>
      <c r="L105" s="184"/>
      <c r="M105" s="171"/>
      <c r="N105" s="1125">
        <v>5</v>
      </c>
      <c r="O105" s="58">
        <v>1</v>
      </c>
      <c r="P105" s="108">
        <f t="shared" si="92"/>
        <v>0.2</v>
      </c>
      <c r="Q105" s="1337"/>
      <c r="R105" s="1343"/>
      <c r="S105" s="165"/>
      <c r="T105" s="257">
        <v>3092.59</v>
      </c>
    </row>
    <row r="106" spans="1:20">
      <c r="A106" s="1355"/>
      <c r="B106" s="65"/>
      <c r="C106" s="81"/>
      <c r="D106" s="120"/>
      <c r="E106" s="67"/>
      <c r="F106" s="67"/>
      <c r="G106" s="67"/>
      <c r="H106" s="66"/>
      <c r="I106" s="359">
        <f t="shared" ref="I106:J106" si="94">SUM(I101:I105)</f>
        <v>0</v>
      </c>
      <c r="J106" s="359">
        <f t="shared" si="94"/>
        <v>41500</v>
      </c>
      <c r="K106" s="358">
        <f>SUM(K101:K105)</f>
        <v>41500</v>
      </c>
      <c r="L106" s="139"/>
      <c r="M106" s="111"/>
      <c r="N106" s="173">
        <f>SUM(N101:N105)</f>
        <v>17</v>
      </c>
      <c r="O106" s="68">
        <f>SUM(O101:O105)</f>
        <v>13</v>
      </c>
      <c r="P106" s="69">
        <f>IFERROR(AVERAGE(P101:P105),"")</f>
        <v>0.73333333333333339</v>
      </c>
      <c r="Q106" s="69">
        <f>IFERROR(AVERAGE(P97:P99,P101:P105),"")</f>
        <v>0.70000000000000007</v>
      </c>
      <c r="R106" s="1343"/>
      <c r="S106" s="352">
        <f>SUM(S101:S105)</f>
        <v>0</v>
      </c>
      <c r="T106" s="70">
        <f>SUM(T101:T105)</f>
        <v>23514.54</v>
      </c>
    </row>
    <row r="107" spans="1:20" ht="30.65" customHeight="1">
      <c r="A107" s="360" t="s">
        <v>358</v>
      </c>
      <c r="B107" s="361"/>
      <c r="C107" s="361"/>
      <c r="D107" s="362"/>
      <c r="E107" s="363" t="s">
        <v>248</v>
      </c>
      <c r="F107" s="364" t="s">
        <v>249</v>
      </c>
      <c r="G107" s="364" t="s">
        <v>250</v>
      </c>
      <c r="H107" s="365" t="s">
        <v>251</v>
      </c>
      <c r="I107" s="389">
        <f t="shared" ref="I107:J107" si="95">I118</f>
        <v>0</v>
      </c>
      <c r="J107" s="384">
        <f t="shared" si="95"/>
        <v>30000</v>
      </c>
      <c r="K107" s="385">
        <f>K118</f>
        <v>30000</v>
      </c>
      <c r="L107" s="366"/>
      <c r="M107" s="367"/>
      <c r="N107" s="368"/>
      <c r="O107" s="369"/>
      <c r="P107" s="370"/>
      <c r="Q107" s="371"/>
      <c r="R107" s="1343"/>
      <c r="S107" s="373">
        <f t="shared" ref="S107:T107" si="96">S118</f>
        <v>0</v>
      </c>
      <c r="T107" s="374">
        <f t="shared" si="96"/>
        <v>4982.95</v>
      </c>
    </row>
    <row r="108" spans="1:20" ht="30.65" customHeight="1">
      <c r="A108" s="1301" t="s">
        <v>359</v>
      </c>
      <c r="B108" s="167">
        <f>B105+1</f>
        <v>72</v>
      </c>
      <c r="C108" s="170" t="s">
        <v>360</v>
      </c>
      <c r="D108" s="176"/>
      <c r="E108" s="61"/>
      <c r="F108" s="61"/>
      <c r="G108" s="61"/>
      <c r="H108" s="60"/>
      <c r="I108" s="356"/>
      <c r="J108" s="356"/>
      <c r="K108" s="357">
        <f t="shared" ref="K108:K117" si="97">I108+J108</f>
        <v>0</v>
      </c>
      <c r="L108" s="182"/>
      <c r="M108" s="171"/>
      <c r="N108" s="1125">
        <v>0</v>
      </c>
      <c r="O108" s="58">
        <v>0</v>
      </c>
      <c r="P108" s="108" t="str">
        <f t="shared" ref="P108:P117" si="98">IF(N108,MIN(1,O108/N108),"")</f>
        <v/>
      </c>
      <c r="Q108" s="1345"/>
      <c r="R108" s="1343"/>
      <c r="S108" s="165"/>
      <c r="T108" s="257"/>
    </row>
    <row r="109" spans="1:20" ht="30.65" customHeight="1">
      <c r="A109" s="1302"/>
      <c r="B109" s="167">
        <f>B108+1</f>
        <v>73</v>
      </c>
      <c r="C109" s="170" t="s">
        <v>361</v>
      </c>
      <c r="D109" s="177"/>
      <c r="E109" s="61"/>
      <c r="F109" s="61"/>
      <c r="G109" s="61"/>
      <c r="H109" s="60"/>
      <c r="I109" s="356"/>
      <c r="J109" s="356">
        <v>6000</v>
      </c>
      <c r="K109" s="357">
        <f t="shared" si="97"/>
        <v>6000</v>
      </c>
      <c r="L109" s="183"/>
      <c r="M109" s="171"/>
      <c r="N109" s="1125">
        <v>3</v>
      </c>
      <c r="O109" s="58">
        <v>3</v>
      </c>
      <c r="P109" s="108">
        <f t="shared" si="98"/>
        <v>1</v>
      </c>
      <c r="Q109" s="1305"/>
      <c r="R109" s="1343"/>
      <c r="S109" s="165"/>
      <c r="T109" s="257">
        <v>167.59</v>
      </c>
    </row>
    <row r="110" spans="1:20" ht="30.65" customHeight="1">
      <c r="A110" s="1302"/>
      <c r="B110" s="167">
        <f t="shared" ref="B110:B117" si="99">B109+1</f>
        <v>74</v>
      </c>
      <c r="C110" s="170" t="s">
        <v>362</v>
      </c>
      <c r="D110" s="177"/>
      <c r="E110" s="61"/>
      <c r="F110" s="61"/>
      <c r="G110" s="61"/>
      <c r="H110" s="60"/>
      <c r="I110" s="356"/>
      <c r="J110" s="356">
        <v>4000</v>
      </c>
      <c r="K110" s="357">
        <f t="shared" si="97"/>
        <v>4000</v>
      </c>
      <c r="L110" s="183"/>
      <c r="M110" s="171"/>
      <c r="N110" s="1125">
        <v>2</v>
      </c>
      <c r="O110" s="58">
        <v>3</v>
      </c>
      <c r="P110" s="108">
        <f t="shared" si="98"/>
        <v>1</v>
      </c>
      <c r="Q110" s="1305"/>
      <c r="R110" s="1343"/>
      <c r="S110" s="165"/>
      <c r="T110" s="257">
        <v>3167.27</v>
      </c>
    </row>
    <row r="111" spans="1:20" ht="30.65" customHeight="1">
      <c r="A111" s="1302"/>
      <c r="B111" s="167">
        <f t="shared" si="99"/>
        <v>75</v>
      </c>
      <c r="C111" s="170" t="s">
        <v>363</v>
      </c>
      <c r="D111" s="177"/>
      <c r="E111" s="61"/>
      <c r="F111" s="61"/>
      <c r="G111" s="61"/>
      <c r="H111" s="60"/>
      <c r="I111" s="356"/>
      <c r="J111" s="356">
        <v>4000</v>
      </c>
      <c r="K111" s="357">
        <f t="shared" si="97"/>
        <v>4000</v>
      </c>
      <c r="L111" s="183"/>
      <c r="M111" s="171"/>
      <c r="N111" s="1125">
        <v>2</v>
      </c>
      <c r="O111" s="58">
        <v>0</v>
      </c>
      <c r="P111" s="108">
        <f t="shared" si="98"/>
        <v>0</v>
      </c>
      <c r="Q111" s="1305"/>
      <c r="R111" s="1343"/>
      <c r="S111" s="165"/>
      <c r="T111" s="257"/>
    </row>
    <row r="112" spans="1:20" ht="30.65" customHeight="1">
      <c r="A112" s="1302"/>
      <c r="B112" s="167">
        <f t="shared" si="99"/>
        <v>76</v>
      </c>
      <c r="C112" s="170" t="s">
        <v>364</v>
      </c>
      <c r="D112" s="177"/>
      <c r="E112" s="61"/>
      <c r="F112" s="61"/>
      <c r="G112" s="61"/>
      <c r="H112" s="60"/>
      <c r="I112" s="356"/>
      <c r="J112" s="356">
        <v>4000</v>
      </c>
      <c r="K112" s="357">
        <f t="shared" si="97"/>
        <v>4000</v>
      </c>
      <c r="L112" s="183"/>
      <c r="M112" s="171"/>
      <c r="N112" s="1125">
        <v>4</v>
      </c>
      <c r="O112" s="58">
        <v>0</v>
      </c>
      <c r="P112" s="108">
        <f t="shared" si="98"/>
        <v>0</v>
      </c>
      <c r="Q112" s="1305"/>
      <c r="R112" s="1343"/>
      <c r="S112" s="165"/>
      <c r="T112" s="257"/>
    </row>
    <row r="113" spans="1:20" ht="30.65" customHeight="1">
      <c r="A113" s="1302"/>
      <c r="B113" s="167">
        <f t="shared" si="99"/>
        <v>77</v>
      </c>
      <c r="C113" s="170" t="s">
        <v>365</v>
      </c>
      <c r="D113" s="177"/>
      <c r="E113" s="61"/>
      <c r="F113" s="61"/>
      <c r="G113" s="61"/>
      <c r="H113" s="60"/>
      <c r="I113" s="356"/>
      <c r="J113" s="356">
        <v>0</v>
      </c>
      <c r="K113" s="357">
        <f t="shared" si="97"/>
        <v>0</v>
      </c>
      <c r="L113" s="183"/>
      <c r="M113" s="171"/>
      <c r="N113" s="1125">
        <v>0</v>
      </c>
      <c r="O113" s="58">
        <v>0</v>
      </c>
      <c r="P113" s="108" t="str">
        <f t="shared" si="98"/>
        <v/>
      </c>
      <c r="Q113" s="1305"/>
      <c r="R113" s="1343"/>
      <c r="S113" s="165"/>
      <c r="T113" s="257"/>
    </row>
    <row r="114" spans="1:20" ht="30.65" customHeight="1">
      <c r="A114" s="1302"/>
      <c r="B114" s="167">
        <f t="shared" si="99"/>
        <v>78</v>
      </c>
      <c r="C114" s="170" t="s">
        <v>366</v>
      </c>
      <c r="D114" s="177"/>
      <c r="E114" s="61"/>
      <c r="F114" s="61"/>
      <c r="G114" s="61"/>
      <c r="H114" s="60"/>
      <c r="I114" s="356"/>
      <c r="J114" s="356">
        <v>5000</v>
      </c>
      <c r="K114" s="357">
        <f t="shared" si="97"/>
        <v>5000</v>
      </c>
      <c r="L114" s="183"/>
      <c r="M114" s="171"/>
      <c r="N114" s="1125">
        <v>1</v>
      </c>
      <c r="O114" s="58">
        <v>1</v>
      </c>
      <c r="P114" s="108">
        <f t="shared" si="98"/>
        <v>1</v>
      </c>
      <c r="Q114" s="1305"/>
      <c r="R114" s="1343"/>
      <c r="S114" s="165"/>
      <c r="T114" s="257">
        <v>1648.09</v>
      </c>
    </row>
    <row r="115" spans="1:20" ht="30.65" customHeight="1">
      <c r="A115" s="1302"/>
      <c r="B115" s="167">
        <f t="shared" si="99"/>
        <v>79</v>
      </c>
      <c r="C115" s="170" t="s">
        <v>367</v>
      </c>
      <c r="D115" s="177"/>
      <c r="E115" s="61"/>
      <c r="F115" s="61"/>
      <c r="G115" s="61"/>
      <c r="H115" s="60"/>
      <c r="I115" s="356"/>
      <c r="J115" s="356">
        <v>0</v>
      </c>
      <c r="K115" s="357">
        <f t="shared" si="97"/>
        <v>0</v>
      </c>
      <c r="L115" s="183"/>
      <c r="M115" s="171"/>
      <c r="N115" s="1125">
        <v>0</v>
      </c>
      <c r="O115" s="58">
        <v>0</v>
      </c>
      <c r="P115" s="108" t="str">
        <f t="shared" si="98"/>
        <v/>
      </c>
      <c r="Q115" s="1305"/>
      <c r="R115" s="1343"/>
      <c r="S115" s="165"/>
      <c r="T115" s="257"/>
    </row>
    <row r="116" spans="1:20" ht="30.65" customHeight="1">
      <c r="A116" s="1310"/>
      <c r="B116" s="167">
        <f t="shared" si="99"/>
        <v>80</v>
      </c>
      <c r="C116" s="170" t="s">
        <v>368</v>
      </c>
      <c r="D116" s="177"/>
      <c r="E116" s="61"/>
      <c r="F116" s="61"/>
      <c r="G116" s="61"/>
      <c r="H116" s="60"/>
      <c r="I116" s="356"/>
      <c r="J116" s="356">
        <v>0</v>
      </c>
      <c r="K116" s="357">
        <f t="shared" si="97"/>
        <v>0</v>
      </c>
      <c r="L116" s="183"/>
      <c r="M116" s="171"/>
      <c r="N116" s="1125">
        <v>0</v>
      </c>
      <c r="O116" s="58">
        <v>0</v>
      </c>
      <c r="P116" s="108" t="str">
        <f t="shared" si="98"/>
        <v/>
      </c>
      <c r="Q116" s="1305"/>
      <c r="R116" s="1343"/>
      <c r="S116" s="165"/>
      <c r="T116" s="257"/>
    </row>
    <row r="117" spans="1:20" ht="30.65" customHeight="1">
      <c r="A117" s="1310"/>
      <c r="B117" s="167">
        <f t="shared" si="99"/>
        <v>81</v>
      </c>
      <c r="C117" s="170" t="s">
        <v>369</v>
      </c>
      <c r="D117" s="178"/>
      <c r="E117" s="61"/>
      <c r="F117" s="61"/>
      <c r="G117" s="61"/>
      <c r="H117" s="60"/>
      <c r="I117" s="356"/>
      <c r="J117" s="356">
        <v>7000</v>
      </c>
      <c r="K117" s="357">
        <f t="shared" si="97"/>
        <v>7000</v>
      </c>
      <c r="L117" s="184"/>
      <c r="M117" s="171"/>
      <c r="N117" s="1125"/>
      <c r="O117" s="58"/>
      <c r="P117" s="108" t="str">
        <f t="shared" si="98"/>
        <v/>
      </c>
      <c r="Q117" s="1346"/>
      <c r="R117" s="1343"/>
      <c r="S117" s="165"/>
      <c r="T117" s="257"/>
    </row>
    <row r="118" spans="1:20">
      <c r="A118" s="1355"/>
      <c r="B118" s="65"/>
      <c r="C118" s="81"/>
      <c r="D118" s="120"/>
      <c r="E118" s="67"/>
      <c r="F118" s="67"/>
      <c r="G118" s="67"/>
      <c r="H118" s="66"/>
      <c r="I118" s="359">
        <f t="shared" ref="I118" si="100">SUM(I108:I117)</f>
        <v>0</v>
      </c>
      <c r="J118" s="359">
        <f t="shared" ref="J118" si="101">SUM(J108:J117)</f>
        <v>30000</v>
      </c>
      <c r="K118" s="358">
        <f>SUM(K108:K117)</f>
        <v>30000</v>
      </c>
      <c r="L118" s="139"/>
      <c r="M118" s="111"/>
      <c r="N118" s="173">
        <f>SUM(N108:N117)</f>
        <v>12</v>
      </c>
      <c r="O118" s="68">
        <f>SUM(O108:O117)</f>
        <v>7</v>
      </c>
      <c r="P118" s="69">
        <f>IFERROR(AVERAGE(P108:P117),"")</f>
        <v>0.6</v>
      </c>
      <c r="Q118" s="69">
        <f>IFERROR(AVERAGE(P108:P117),"")</f>
        <v>0.6</v>
      </c>
      <c r="R118" s="1343"/>
      <c r="S118" s="352">
        <f>SUM(S108:S117)</f>
        <v>0</v>
      </c>
      <c r="T118" s="70">
        <f>SUM(T108:T117)</f>
        <v>4982.95</v>
      </c>
    </row>
    <row r="119" spans="1:20" ht="30.65" customHeight="1">
      <c r="A119" s="360" t="s">
        <v>370</v>
      </c>
      <c r="B119" s="361"/>
      <c r="C119" s="361"/>
      <c r="D119" s="362"/>
      <c r="E119" s="363" t="s">
        <v>248</v>
      </c>
      <c r="F119" s="364" t="s">
        <v>249</v>
      </c>
      <c r="G119" s="364" t="s">
        <v>250</v>
      </c>
      <c r="H119" s="365" t="s">
        <v>251</v>
      </c>
      <c r="I119" s="389">
        <f t="shared" ref="I119:J119" si="102">I127</f>
        <v>0</v>
      </c>
      <c r="J119" s="384">
        <f t="shared" si="102"/>
        <v>15590.909090909092</v>
      </c>
      <c r="K119" s="385">
        <f>K127</f>
        <v>15590.909090909092</v>
      </c>
      <c r="L119" s="366"/>
      <c r="M119" s="367"/>
      <c r="N119" s="368"/>
      <c r="O119" s="369"/>
      <c r="P119" s="370"/>
      <c r="Q119" s="371"/>
      <c r="R119" s="1343"/>
      <c r="S119" s="373">
        <f t="shared" ref="S119:T119" si="103">S127</f>
        <v>0</v>
      </c>
      <c r="T119" s="374">
        <f t="shared" si="103"/>
        <v>1574.99</v>
      </c>
    </row>
    <row r="120" spans="1:20" ht="30.65" customHeight="1">
      <c r="A120" s="1301" t="s">
        <v>371</v>
      </c>
      <c r="B120" s="167">
        <f>B117+1</f>
        <v>82</v>
      </c>
      <c r="C120" s="170" t="s">
        <v>372</v>
      </c>
      <c r="D120" s="176"/>
      <c r="E120" s="61"/>
      <c r="F120" s="61"/>
      <c r="G120" s="61"/>
      <c r="H120" s="60"/>
      <c r="I120" s="356"/>
      <c r="J120" s="356">
        <v>10000</v>
      </c>
      <c r="K120" s="357">
        <f t="shared" ref="K120:K126" si="104">I120+J120</f>
        <v>10000</v>
      </c>
      <c r="L120" s="182"/>
      <c r="M120" s="171"/>
      <c r="N120" s="1125">
        <v>1</v>
      </c>
      <c r="O120" s="58">
        <v>0</v>
      </c>
      <c r="P120" s="108">
        <f t="shared" ref="P120:P126" si="105">IF(N120,MIN(1,O120/N120),"")</f>
        <v>0</v>
      </c>
      <c r="Q120" s="1345"/>
      <c r="R120" s="1343"/>
      <c r="S120" s="165"/>
      <c r="T120" s="257"/>
    </row>
    <row r="121" spans="1:20" ht="30.65" customHeight="1">
      <c r="A121" s="1302"/>
      <c r="B121" s="167">
        <f>B120+1</f>
        <v>83</v>
      </c>
      <c r="C121" s="170" t="s">
        <v>373</v>
      </c>
      <c r="D121" s="177"/>
      <c r="E121" s="61"/>
      <c r="F121" s="61"/>
      <c r="G121" s="61"/>
      <c r="H121" s="60"/>
      <c r="I121" s="356"/>
      <c r="J121" s="356">
        <v>0</v>
      </c>
      <c r="K121" s="357">
        <f t="shared" si="104"/>
        <v>0</v>
      </c>
      <c r="L121" s="183"/>
      <c r="M121" s="171"/>
      <c r="N121" s="1125">
        <v>0</v>
      </c>
      <c r="O121" s="58">
        <v>0</v>
      </c>
      <c r="P121" s="108" t="str">
        <f t="shared" si="105"/>
        <v/>
      </c>
      <c r="Q121" s="1305"/>
      <c r="R121" s="1343"/>
      <c r="S121" s="165"/>
      <c r="T121" s="257"/>
    </row>
    <row r="122" spans="1:20" ht="30.65" customHeight="1">
      <c r="A122" s="1302"/>
      <c r="B122" s="167">
        <f t="shared" ref="B122:B126" si="106">B121+1</f>
        <v>84</v>
      </c>
      <c r="C122" s="170" t="s">
        <v>374</v>
      </c>
      <c r="D122" s="177"/>
      <c r="E122" s="61"/>
      <c r="F122" s="61"/>
      <c r="G122" s="61"/>
      <c r="H122" s="60"/>
      <c r="I122" s="356"/>
      <c r="J122" s="356">
        <v>0</v>
      </c>
      <c r="K122" s="357">
        <f t="shared" si="104"/>
        <v>0</v>
      </c>
      <c r="L122" s="183"/>
      <c r="M122" s="171"/>
      <c r="N122" s="1125">
        <v>0</v>
      </c>
      <c r="O122" s="58">
        <v>0</v>
      </c>
      <c r="P122" s="108" t="str">
        <f t="shared" si="105"/>
        <v/>
      </c>
      <c r="Q122" s="1305"/>
      <c r="R122" s="1343"/>
      <c r="S122" s="165"/>
      <c r="T122" s="257"/>
    </row>
    <row r="123" spans="1:20" ht="30.65" customHeight="1">
      <c r="A123" s="1302"/>
      <c r="B123" s="167">
        <f t="shared" si="106"/>
        <v>85</v>
      </c>
      <c r="C123" s="170" t="s">
        <v>375</v>
      </c>
      <c r="D123" s="177"/>
      <c r="E123" s="61"/>
      <c r="F123" s="61"/>
      <c r="G123" s="61"/>
      <c r="H123" s="60"/>
      <c r="I123" s="356"/>
      <c r="J123" s="356">
        <v>0</v>
      </c>
      <c r="K123" s="357">
        <f t="shared" si="104"/>
        <v>0</v>
      </c>
      <c r="L123" s="183"/>
      <c r="M123" s="171"/>
      <c r="N123" s="1125">
        <v>0</v>
      </c>
      <c r="O123" s="58">
        <v>0</v>
      </c>
      <c r="P123" s="108" t="str">
        <f t="shared" si="105"/>
        <v/>
      </c>
      <c r="Q123" s="1305"/>
      <c r="R123" s="1343"/>
      <c r="S123" s="165"/>
      <c r="T123" s="257"/>
    </row>
    <row r="124" spans="1:20" ht="30.65" customHeight="1">
      <c r="A124" s="1302"/>
      <c r="B124" s="167">
        <f t="shared" si="106"/>
        <v>86</v>
      </c>
      <c r="C124" s="170" t="s">
        <v>376</v>
      </c>
      <c r="D124" s="177"/>
      <c r="E124" s="61"/>
      <c r="F124" s="61"/>
      <c r="G124" s="61"/>
      <c r="H124" s="60"/>
      <c r="I124" s="356"/>
      <c r="J124" s="356">
        <v>0</v>
      </c>
      <c r="K124" s="357">
        <f t="shared" si="104"/>
        <v>0</v>
      </c>
      <c r="L124" s="183"/>
      <c r="M124" s="171"/>
      <c r="N124" s="1125">
        <v>0</v>
      </c>
      <c r="O124" s="58">
        <v>0</v>
      </c>
      <c r="P124" s="108" t="str">
        <f t="shared" si="105"/>
        <v/>
      </c>
      <c r="Q124" s="1305"/>
      <c r="R124" s="1343"/>
      <c r="S124" s="165"/>
      <c r="T124" s="257"/>
    </row>
    <row r="125" spans="1:20" ht="30.65" customHeight="1">
      <c r="A125" s="1302"/>
      <c r="B125" s="167">
        <f t="shared" si="106"/>
        <v>87</v>
      </c>
      <c r="C125" s="170" t="s">
        <v>377</v>
      </c>
      <c r="D125" s="177"/>
      <c r="E125" s="61"/>
      <c r="F125" s="61"/>
      <c r="G125" s="61"/>
      <c r="H125" s="60"/>
      <c r="I125" s="356"/>
      <c r="J125" s="356">
        <v>5590.909090909091</v>
      </c>
      <c r="K125" s="357">
        <f t="shared" si="104"/>
        <v>5590.909090909091</v>
      </c>
      <c r="L125" s="183"/>
      <c r="M125" s="171"/>
      <c r="N125" s="1125">
        <v>1</v>
      </c>
      <c r="O125" s="58">
        <v>1</v>
      </c>
      <c r="P125" s="108">
        <f t="shared" si="105"/>
        <v>1</v>
      </c>
      <c r="Q125" s="1305"/>
      <c r="R125" s="1343"/>
      <c r="S125" s="165"/>
      <c r="T125" s="257">
        <v>1574.99</v>
      </c>
    </row>
    <row r="126" spans="1:20" ht="30.65" customHeight="1">
      <c r="A126" s="1302"/>
      <c r="B126" s="167">
        <f t="shared" si="106"/>
        <v>88</v>
      </c>
      <c r="C126" s="170" t="s">
        <v>378</v>
      </c>
      <c r="D126" s="177"/>
      <c r="E126" s="61"/>
      <c r="F126" s="61"/>
      <c r="G126" s="61"/>
      <c r="H126" s="60"/>
      <c r="I126" s="356"/>
      <c r="J126" s="356">
        <v>0</v>
      </c>
      <c r="K126" s="357">
        <f t="shared" si="104"/>
        <v>0</v>
      </c>
      <c r="L126" s="183"/>
      <c r="M126" s="171"/>
      <c r="N126" s="1125">
        <v>0</v>
      </c>
      <c r="O126" s="58">
        <v>0</v>
      </c>
      <c r="P126" s="108" t="str">
        <f t="shared" si="105"/>
        <v/>
      </c>
      <c r="Q126" s="1346"/>
      <c r="R126" s="1344"/>
      <c r="S126" s="165"/>
      <c r="T126" s="257"/>
    </row>
    <row r="127" spans="1:20">
      <c r="A127" s="1355"/>
      <c r="B127" s="65"/>
      <c r="C127" s="81"/>
      <c r="D127" s="120"/>
      <c r="E127" s="67"/>
      <c r="F127" s="67"/>
      <c r="G127" s="67"/>
      <c r="H127" s="66"/>
      <c r="I127" s="359">
        <f>SUM(I120:I126)</f>
        <v>0</v>
      </c>
      <c r="J127" s="359">
        <f>SUM(J120:J126)</f>
        <v>15590.909090909092</v>
      </c>
      <c r="K127" s="358">
        <f>SUM(K120:K126)</f>
        <v>15590.909090909092</v>
      </c>
      <c r="L127" s="139"/>
      <c r="M127" s="111"/>
      <c r="N127" s="173">
        <f>SUM(N120:N126)</f>
        <v>2</v>
      </c>
      <c r="O127" s="68">
        <f>SUM(O120:O126)</f>
        <v>1</v>
      </c>
      <c r="P127" s="69">
        <f>IFERROR(AVERAGE(P120:P126),"")</f>
        <v>0.5</v>
      </c>
      <c r="Q127" s="69">
        <f>IFERROR(AVERAGE(P120:P126),"")</f>
        <v>0.5</v>
      </c>
      <c r="R127" s="69">
        <f>IFERROR(AVERAGE(P97:P99,P101:P105,P108:P117,P120:P126),"")</f>
        <v>0.63076923076923075</v>
      </c>
      <c r="S127" s="352">
        <f>SUM(S120:S126)</f>
        <v>0</v>
      </c>
      <c r="T127" s="70">
        <f>SUM(T120:T126)</f>
        <v>1574.99</v>
      </c>
    </row>
    <row r="128" spans="1:20" ht="36.75" customHeight="1">
      <c r="A128" s="83" t="s">
        <v>379</v>
      </c>
      <c r="B128" s="83"/>
      <c r="C128" s="84"/>
      <c r="D128" s="84"/>
      <c r="E128" s="85"/>
      <c r="F128" s="85"/>
      <c r="G128" s="85"/>
      <c r="H128" s="86"/>
      <c r="I128" s="85"/>
      <c r="J128" s="85"/>
      <c r="K128" s="87">
        <f>K129+K143+K163</f>
        <v>389144.20454545459</v>
      </c>
      <c r="L128" s="136"/>
      <c r="M128" s="114"/>
      <c r="N128" s="89"/>
      <c r="O128" s="90"/>
      <c r="P128" s="88"/>
      <c r="Q128" s="88"/>
      <c r="R128" s="91"/>
      <c r="S128" s="349">
        <f>S129+S143+S163</f>
        <v>0</v>
      </c>
      <c r="T128" s="82">
        <f>T129+T143+T163</f>
        <v>0</v>
      </c>
    </row>
    <row r="129" spans="1:20" ht="30.65" customHeight="1">
      <c r="A129" s="277" t="s">
        <v>380</v>
      </c>
      <c r="B129" s="278"/>
      <c r="C129" s="278"/>
      <c r="D129" s="276"/>
      <c r="E129" s="250" t="s">
        <v>248</v>
      </c>
      <c r="F129" s="251" t="s">
        <v>249</v>
      </c>
      <c r="G129" s="251" t="s">
        <v>250</v>
      </c>
      <c r="H129" s="252" t="s">
        <v>251</v>
      </c>
      <c r="I129" s="381">
        <f t="shared" ref="I129:J129" si="107">I142</f>
        <v>0</v>
      </c>
      <c r="J129" s="382">
        <f t="shared" si="107"/>
        <v>47450</v>
      </c>
      <c r="K129" s="253">
        <f>K142</f>
        <v>47450</v>
      </c>
      <c r="L129" s="254"/>
      <c r="M129" s="259"/>
      <c r="N129" s="261"/>
      <c r="O129" s="262"/>
      <c r="P129" s="255"/>
      <c r="Q129" s="282"/>
      <c r="R129" s="283"/>
      <c r="S129" s="351">
        <f t="shared" ref="S129:T129" si="108">S142</f>
        <v>0</v>
      </c>
      <c r="T129" s="256">
        <f t="shared" si="108"/>
        <v>0</v>
      </c>
    </row>
    <row r="130" spans="1:20" ht="30.65" customHeight="1">
      <c r="A130" s="1349" t="s">
        <v>381</v>
      </c>
      <c r="B130" s="167" t="s">
        <v>382</v>
      </c>
      <c r="C130" s="185" t="s">
        <v>383</v>
      </c>
      <c r="D130" s="186" t="s">
        <v>78</v>
      </c>
      <c r="E130" s="62"/>
      <c r="F130" s="62"/>
      <c r="G130" s="62"/>
      <c r="H130" s="63"/>
      <c r="I130" s="356"/>
      <c r="J130" s="356">
        <v>7363.636363636364</v>
      </c>
      <c r="K130" s="357">
        <f t="shared" ref="K130:K141" si="109">I130+J130</f>
        <v>7363.636363636364</v>
      </c>
      <c r="L130" s="182"/>
      <c r="M130" s="1127"/>
      <c r="N130" s="1128"/>
      <c r="O130" s="58"/>
      <c r="P130" s="307"/>
      <c r="Q130" s="307"/>
      <c r="R130" s="307"/>
      <c r="S130" s="263"/>
      <c r="T130" s="1129"/>
    </row>
    <row r="131" spans="1:20" ht="30.65" customHeight="1">
      <c r="A131" s="1350"/>
      <c r="B131" s="167" t="s">
        <v>382</v>
      </c>
      <c r="C131" s="185" t="s">
        <v>384</v>
      </c>
      <c r="D131" s="186" t="s">
        <v>78</v>
      </c>
      <c r="E131" s="62"/>
      <c r="F131" s="62"/>
      <c r="G131" s="62"/>
      <c r="H131" s="63"/>
      <c r="I131" s="356"/>
      <c r="J131" s="356">
        <v>5836.3636363636351</v>
      </c>
      <c r="K131" s="357">
        <f t="shared" si="109"/>
        <v>5836.3636363636351</v>
      </c>
      <c r="L131" s="183"/>
      <c r="M131" s="1127"/>
      <c r="N131" s="1128"/>
      <c r="O131" s="58"/>
      <c r="P131" s="307"/>
      <c r="Q131" s="307"/>
      <c r="R131" s="307"/>
      <c r="S131" s="263"/>
      <c r="T131" s="1129"/>
    </row>
    <row r="132" spans="1:20" ht="30.65" customHeight="1">
      <c r="A132" s="1350"/>
      <c r="B132" s="167" t="s">
        <v>382</v>
      </c>
      <c r="C132" s="185" t="s">
        <v>385</v>
      </c>
      <c r="D132" s="186"/>
      <c r="E132" s="62"/>
      <c r="F132" s="62"/>
      <c r="G132" s="62"/>
      <c r="H132" s="63"/>
      <c r="I132" s="356"/>
      <c r="J132" s="356">
        <v>585.4545454545455</v>
      </c>
      <c r="K132" s="357">
        <f t="shared" si="109"/>
        <v>585.4545454545455</v>
      </c>
      <c r="L132" s="183"/>
      <c r="M132" s="1127"/>
      <c r="N132" s="1128"/>
      <c r="O132" s="58"/>
      <c r="P132" s="307"/>
      <c r="Q132" s="307"/>
      <c r="R132" s="307"/>
      <c r="S132" s="263"/>
      <c r="T132" s="1129"/>
    </row>
    <row r="133" spans="1:20" ht="30.65" customHeight="1">
      <c r="A133" s="1350"/>
      <c r="B133" s="167" t="s">
        <v>382</v>
      </c>
      <c r="C133" s="185" t="s">
        <v>386</v>
      </c>
      <c r="D133" s="186"/>
      <c r="E133" s="62"/>
      <c r="F133" s="62"/>
      <c r="G133" s="62"/>
      <c r="H133" s="63"/>
      <c r="I133" s="356"/>
      <c r="J133" s="356">
        <v>5854.545454545455</v>
      </c>
      <c r="K133" s="357">
        <f t="shared" si="109"/>
        <v>5854.545454545455</v>
      </c>
      <c r="L133" s="183"/>
      <c r="M133" s="1127"/>
      <c r="N133" s="1128"/>
      <c r="O133" s="58"/>
      <c r="P133" s="307"/>
      <c r="Q133" s="307"/>
      <c r="R133" s="307"/>
      <c r="S133" s="263"/>
      <c r="T133" s="1129"/>
    </row>
    <row r="134" spans="1:20" ht="30.65" customHeight="1">
      <c r="A134" s="1350"/>
      <c r="B134" s="167" t="s">
        <v>382</v>
      </c>
      <c r="C134" s="185" t="s">
        <v>387</v>
      </c>
      <c r="D134" s="186"/>
      <c r="E134" s="62"/>
      <c r="F134" s="62"/>
      <c r="G134" s="62"/>
      <c r="H134" s="63"/>
      <c r="I134" s="356"/>
      <c r="J134" s="356">
        <v>4090.909090909091</v>
      </c>
      <c r="K134" s="357">
        <f t="shared" si="109"/>
        <v>4090.909090909091</v>
      </c>
      <c r="L134" s="183"/>
      <c r="M134" s="1127"/>
      <c r="N134" s="1128"/>
      <c r="O134" s="58"/>
      <c r="P134" s="307"/>
      <c r="Q134" s="307"/>
      <c r="R134" s="307"/>
      <c r="S134" s="263"/>
      <c r="T134" s="1129"/>
    </row>
    <row r="135" spans="1:20" ht="30.65" customHeight="1">
      <c r="A135" s="1350"/>
      <c r="B135" s="167" t="s">
        <v>382</v>
      </c>
      <c r="C135" s="185" t="s">
        <v>388</v>
      </c>
      <c r="D135" s="186"/>
      <c r="E135" s="62"/>
      <c r="F135" s="62"/>
      <c r="G135" s="62"/>
      <c r="H135" s="63"/>
      <c r="I135" s="356"/>
      <c r="J135" s="356">
        <v>476.36363636363632</v>
      </c>
      <c r="K135" s="357">
        <f t="shared" si="109"/>
        <v>476.36363636363632</v>
      </c>
      <c r="L135" s="183"/>
      <c r="M135" s="1127"/>
      <c r="N135" s="1128"/>
      <c r="O135" s="58"/>
      <c r="P135" s="307"/>
      <c r="Q135" s="307"/>
      <c r="R135" s="307"/>
      <c r="S135" s="263"/>
      <c r="T135" s="1129"/>
    </row>
    <row r="136" spans="1:20" ht="30.65" customHeight="1">
      <c r="A136" s="1350"/>
      <c r="B136" s="167" t="s">
        <v>382</v>
      </c>
      <c r="C136" s="185" t="s">
        <v>389</v>
      </c>
      <c r="D136" s="186"/>
      <c r="E136" s="62"/>
      <c r="F136" s="62"/>
      <c r="G136" s="62"/>
      <c r="H136" s="63"/>
      <c r="I136" s="356"/>
      <c r="J136" s="356">
        <v>2331.818181818182</v>
      </c>
      <c r="K136" s="357">
        <f t="shared" si="109"/>
        <v>2331.818181818182</v>
      </c>
      <c r="L136" s="183"/>
      <c r="M136" s="1127"/>
      <c r="N136" s="1128"/>
      <c r="O136" s="58"/>
      <c r="P136" s="307"/>
      <c r="Q136" s="307"/>
      <c r="R136" s="307"/>
      <c r="S136" s="263"/>
      <c r="T136" s="1129"/>
    </row>
    <row r="137" spans="1:20" ht="30.65" customHeight="1">
      <c r="A137" s="1350"/>
      <c r="B137" s="167" t="s">
        <v>382</v>
      </c>
      <c r="C137" s="185" t="s">
        <v>390</v>
      </c>
      <c r="D137" s="186"/>
      <c r="E137" s="62"/>
      <c r="F137" s="62"/>
      <c r="G137" s="62"/>
      <c r="H137" s="63"/>
      <c r="I137" s="356"/>
      <c r="J137" s="356">
        <v>3709.090909090909</v>
      </c>
      <c r="K137" s="357">
        <f t="shared" si="109"/>
        <v>3709.090909090909</v>
      </c>
      <c r="L137" s="183"/>
      <c r="M137" s="1127"/>
      <c r="N137" s="1128"/>
      <c r="O137" s="58"/>
      <c r="P137" s="307"/>
      <c r="Q137" s="307"/>
      <c r="R137" s="307"/>
      <c r="S137" s="263"/>
      <c r="T137" s="1129"/>
    </row>
    <row r="138" spans="1:20" ht="30.65" customHeight="1">
      <c r="A138" s="1350"/>
      <c r="B138" s="167" t="s">
        <v>382</v>
      </c>
      <c r="C138" s="185" t="s">
        <v>391</v>
      </c>
      <c r="D138" s="186"/>
      <c r="E138" s="62"/>
      <c r="F138" s="62"/>
      <c r="G138" s="62"/>
      <c r="H138" s="63"/>
      <c r="I138" s="356"/>
      <c r="J138" s="356">
        <v>7854.545454545454</v>
      </c>
      <c r="K138" s="357">
        <f t="shared" si="109"/>
        <v>7854.545454545454</v>
      </c>
      <c r="L138" s="183"/>
      <c r="M138" s="1127"/>
      <c r="N138" s="1128"/>
      <c r="O138" s="58"/>
      <c r="P138" s="307"/>
      <c r="Q138" s="307"/>
      <c r="R138" s="307"/>
      <c r="S138" s="263"/>
      <c r="T138" s="1129"/>
    </row>
    <row r="139" spans="1:20" ht="30.65" customHeight="1">
      <c r="A139" s="1350"/>
      <c r="B139" s="167" t="s">
        <v>382</v>
      </c>
      <c r="C139" s="185" t="s">
        <v>392</v>
      </c>
      <c r="D139" s="186" t="s">
        <v>78</v>
      </c>
      <c r="E139" s="62"/>
      <c r="F139" s="62"/>
      <c r="G139" s="62"/>
      <c r="H139" s="63"/>
      <c r="I139" s="356"/>
      <c r="J139" s="356">
        <v>6272.727272727273</v>
      </c>
      <c r="K139" s="357">
        <f t="shared" si="109"/>
        <v>6272.727272727273</v>
      </c>
      <c r="L139" s="183"/>
      <c r="M139" s="1127"/>
      <c r="N139" s="1128"/>
      <c r="O139" s="58"/>
      <c r="P139" s="307"/>
      <c r="Q139" s="307"/>
      <c r="R139" s="307"/>
      <c r="S139" s="263"/>
      <c r="T139" s="1129"/>
    </row>
    <row r="140" spans="1:20" ht="30.65" customHeight="1">
      <c r="A140" s="1350"/>
      <c r="B140" s="167" t="s">
        <v>382</v>
      </c>
      <c r="C140" s="185" t="s">
        <v>393</v>
      </c>
      <c r="D140" s="186" t="s">
        <v>78</v>
      </c>
      <c r="E140" s="62"/>
      <c r="F140" s="62"/>
      <c r="G140" s="62"/>
      <c r="H140" s="63"/>
      <c r="I140" s="356"/>
      <c r="J140" s="356">
        <v>2727.2727272727275</v>
      </c>
      <c r="K140" s="357">
        <f t="shared" si="109"/>
        <v>2727.2727272727275</v>
      </c>
      <c r="L140" s="183"/>
      <c r="M140" s="1127"/>
      <c r="N140" s="1128"/>
      <c r="O140" s="58"/>
      <c r="P140" s="307"/>
      <c r="Q140" s="307"/>
      <c r="R140" s="307"/>
      <c r="S140" s="263"/>
      <c r="T140" s="1129"/>
    </row>
    <row r="141" spans="1:20" ht="30.65" customHeight="1">
      <c r="A141" s="1350"/>
      <c r="B141" s="167" t="s">
        <v>382</v>
      </c>
      <c r="C141" s="187" t="s">
        <v>394</v>
      </c>
      <c r="D141" s="186" t="s">
        <v>78</v>
      </c>
      <c r="E141" s="62"/>
      <c r="F141" s="62"/>
      <c r="G141" s="62"/>
      <c r="H141" s="63"/>
      <c r="I141" s="356"/>
      <c r="J141" s="356">
        <v>347.27272727272725</v>
      </c>
      <c r="K141" s="357">
        <f t="shared" si="109"/>
        <v>347.27272727272725</v>
      </c>
      <c r="L141" s="183"/>
      <c r="M141" s="1127"/>
      <c r="N141" s="1128"/>
      <c r="O141" s="58"/>
      <c r="P141" s="307"/>
      <c r="Q141" s="307"/>
      <c r="R141" s="307"/>
      <c r="S141" s="263"/>
      <c r="T141" s="1129"/>
    </row>
    <row r="142" spans="1:20">
      <c r="A142" s="1351"/>
      <c r="B142" s="65"/>
      <c r="C142" s="81"/>
      <c r="D142" s="120"/>
      <c r="E142" s="67"/>
      <c r="F142" s="67"/>
      <c r="G142" s="67"/>
      <c r="H142" s="66"/>
      <c r="I142" s="359">
        <f t="shared" ref="I142:J142" si="110">SUM(I130:I141)</f>
        <v>0</v>
      </c>
      <c r="J142" s="359">
        <f t="shared" si="110"/>
        <v>47450</v>
      </c>
      <c r="K142" s="358">
        <f>SUM(K130:K141)</f>
        <v>47450</v>
      </c>
      <c r="L142" s="139"/>
      <c r="M142" s="111"/>
      <c r="N142" s="173">
        <f>SUM(N130:N141)</f>
        <v>0</v>
      </c>
      <c r="O142" s="274">
        <f>SUM(O130:O141)</f>
        <v>0</v>
      </c>
      <c r="P142" s="142"/>
      <c r="Q142" s="272"/>
      <c r="R142" s="273"/>
      <c r="S142" s="352">
        <f>SUM(S130:S141)</f>
        <v>0</v>
      </c>
      <c r="T142" s="70">
        <f>SUM(T130:T141)</f>
        <v>0</v>
      </c>
    </row>
    <row r="143" spans="1:20" ht="30.65" customHeight="1">
      <c r="A143" s="264"/>
      <c r="B143" s="1130"/>
      <c r="C143" s="152" t="s">
        <v>395</v>
      </c>
      <c r="D143" s="64"/>
      <c r="E143" s="64"/>
      <c r="F143" s="64"/>
      <c r="G143" s="129"/>
      <c r="H143" s="130"/>
      <c r="I143" s="381">
        <f t="shared" ref="I143:J143" si="111">I162</f>
        <v>0</v>
      </c>
      <c r="J143" s="382">
        <f t="shared" si="111"/>
        <v>0</v>
      </c>
      <c r="K143" s="253">
        <f>K162</f>
        <v>0</v>
      </c>
      <c r="L143" s="140"/>
      <c r="M143" s="265"/>
      <c r="N143" s="266"/>
      <c r="O143" s="267"/>
      <c r="P143" s="141"/>
      <c r="Q143" s="282"/>
      <c r="R143" s="283"/>
      <c r="S143" s="351">
        <f t="shared" ref="S143:T143" si="112">S162</f>
        <v>0</v>
      </c>
      <c r="T143" s="253">
        <f t="shared" si="112"/>
        <v>0</v>
      </c>
    </row>
    <row r="144" spans="1:20" ht="30.65" customHeight="1">
      <c r="A144" s="281"/>
      <c r="B144" s="167" t="s">
        <v>396</v>
      </c>
      <c r="C144" s="185" t="s">
        <v>397</v>
      </c>
      <c r="D144" s="186" t="s">
        <v>78</v>
      </c>
      <c r="E144" s="62"/>
      <c r="F144" s="62"/>
      <c r="G144" s="62"/>
      <c r="H144" s="63"/>
      <c r="I144" s="356"/>
      <c r="J144" s="356"/>
      <c r="K144" s="357">
        <f t="shared" ref="K144:K161" si="113">I144+J144</f>
        <v>0</v>
      </c>
      <c r="L144" s="182"/>
      <c r="M144" s="1131" t="s">
        <v>398</v>
      </c>
      <c r="N144" s="1128">
        <v>2</v>
      </c>
      <c r="O144" s="58"/>
      <c r="P144" s="307"/>
      <c r="Q144" s="307"/>
      <c r="R144" s="307"/>
      <c r="S144" s="263"/>
      <c r="T144" s="1129"/>
    </row>
    <row r="145" spans="1:20" ht="30.65" customHeight="1">
      <c r="A145" s="281"/>
      <c r="B145" s="167" t="s">
        <v>396</v>
      </c>
      <c r="C145" s="185" t="s">
        <v>399</v>
      </c>
      <c r="D145" s="186" t="s">
        <v>78</v>
      </c>
      <c r="E145" s="62"/>
      <c r="F145" s="62"/>
      <c r="G145" s="62"/>
      <c r="H145" s="63"/>
      <c r="I145" s="356"/>
      <c r="J145" s="356"/>
      <c r="K145" s="357">
        <f t="shared" si="113"/>
        <v>0</v>
      </c>
      <c r="L145" s="183"/>
      <c r="M145" s="1131" t="s">
        <v>398</v>
      </c>
      <c r="N145" s="1128">
        <v>3</v>
      </c>
      <c r="O145" s="58"/>
      <c r="P145" s="307"/>
      <c r="Q145" s="307"/>
      <c r="R145" s="307"/>
      <c r="S145" s="263"/>
      <c r="T145" s="1129"/>
    </row>
    <row r="146" spans="1:20" ht="30.65" customHeight="1">
      <c r="A146" s="281"/>
      <c r="B146" s="167" t="s">
        <v>396</v>
      </c>
      <c r="C146" s="185" t="s">
        <v>400</v>
      </c>
      <c r="D146" s="186"/>
      <c r="E146" s="62"/>
      <c r="F146" s="62"/>
      <c r="G146" s="62"/>
      <c r="H146" s="63"/>
      <c r="I146" s="356"/>
      <c r="J146" s="356"/>
      <c r="K146" s="357">
        <f t="shared" si="113"/>
        <v>0</v>
      </c>
      <c r="L146" s="183"/>
      <c r="M146" s="1131" t="s">
        <v>398</v>
      </c>
      <c r="N146" s="1128">
        <v>6</v>
      </c>
      <c r="O146" s="58"/>
      <c r="P146" s="307"/>
      <c r="Q146" s="307"/>
      <c r="R146" s="307"/>
      <c r="S146" s="263"/>
      <c r="T146" s="1129"/>
    </row>
    <row r="147" spans="1:20" ht="30.65" customHeight="1">
      <c r="A147" s="281"/>
      <c r="B147" s="167" t="s">
        <v>396</v>
      </c>
      <c r="C147" s="185" t="s">
        <v>401</v>
      </c>
      <c r="D147" s="186"/>
      <c r="E147" s="62"/>
      <c r="F147" s="62"/>
      <c r="G147" s="62"/>
      <c r="H147" s="63"/>
      <c r="I147" s="356"/>
      <c r="J147" s="356"/>
      <c r="K147" s="357">
        <f t="shared" si="113"/>
        <v>0</v>
      </c>
      <c r="L147" s="183"/>
      <c r="M147" s="1131" t="s">
        <v>398</v>
      </c>
      <c r="N147" s="1128">
        <v>3</v>
      </c>
      <c r="O147" s="58"/>
      <c r="P147" s="307"/>
      <c r="Q147" s="307"/>
      <c r="R147" s="307"/>
      <c r="S147" s="263"/>
      <c r="T147" s="1129"/>
    </row>
    <row r="148" spans="1:20" ht="30.65" customHeight="1">
      <c r="A148" s="281"/>
      <c r="B148" s="167" t="s">
        <v>396</v>
      </c>
      <c r="C148" s="185" t="s">
        <v>402</v>
      </c>
      <c r="D148" s="186"/>
      <c r="E148" s="62"/>
      <c r="F148" s="62"/>
      <c r="G148" s="62"/>
      <c r="H148" s="63"/>
      <c r="I148" s="356"/>
      <c r="J148" s="356"/>
      <c r="K148" s="357">
        <f t="shared" si="113"/>
        <v>0</v>
      </c>
      <c r="L148" s="183"/>
      <c r="M148" s="1131" t="s">
        <v>398</v>
      </c>
      <c r="N148" s="1128">
        <v>2</v>
      </c>
      <c r="O148" s="58"/>
      <c r="P148" s="307"/>
      <c r="Q148" s="307"/>
      <c r="R148" s="307"/>
      <c r="S148" s="263"/>
      <c r="T148" s="1129"/>
    </row>
    <row r="149" spans="1:20" ht="30.65" customHeight="1">
      <c r="A149" s="281"/>
      <c r="B149" s="167" t="s">
        <v>396</v>
      </c>
      <c r="C149" s="185" t="s">
        <v>403</v>
      </c>
      <c r="D149" s="186"/>
      <c r="E149" s="62"/>
      <c r="F149" s="62"/>
      <c r="G149" s="62"/>
      <c r="H149" s="63"/>
      <c r="I149" s="356"/>
      <c r="J149" s="356"/>
      <c r="K149" s="357">
        <f t="shared" si="113"/>
        <v>0</v>
      </c>
      <c r="L149" s="183"/>
      <c r="M149" s="1131" t="s">
        <v>398</v>
      </c>
      <c r="N149" s="1128">
        <v>1</v>
      </c>
      <c r="O149" s="58"/>
      <c r="P149" s="307"/>
      <c r="Q149" s="307"/>
      <c r="R149" s="307"/>
      <c r="S149" s="263"/>
      <c r="T149" s="1129"/>
    </row>
    <row r="150" spans="1:20" ht="30.65" customHeight="1">
      <c r="A150" s="281"/>
      <c r="B150" s="167" t="s">
        <v>396</v>
      </c>
      <c r="C150" s="185" t="s">
        <v>404</v>
      </c>
      <c r="D150" s="186"/>
      <c r="E150" s="62"/>
      <c r="F150" s="62"/>
      <c r="G150" s="62"/>
      <c r="H150" s="63"/>
      <c r="I150" s="356"/>
      <c r="J150" s="356"/>
      <c r="K150" s="357">
        <f t="shared" si="113"/>
        <v>0</v>
      </c>
      <c r="L150" s="183"/>
      <c r="M150" s="1131" t="s">
        <v>398</v>
      </c>
      <c r="N150" s="1128">
        <v>8</v>
      </c>
      <c r="O150" s="58"/>
      <c r="P150" s="307"/>
      <c r="Q150" s="307"/>
      <c r="R150" s="307"/>
      <c r="S150" s="263"/>
      <c r="T150" s="1129"/>
    </row>
    <row r="151" spans="1:20" ht="30.65" customHeight="1">
      <c r="A151" s="281"/>
      <c r="B151" s="167" t="s">
        <v>396</v>
      </c>
      <c r="C151" s="185" t="s">
        <v>405</v>
      </c>
      <c r="D151" s="186"/>
      <c r="E151" s="62"/>
      <c r="F151" s="62"/>
      <c r="G151" s="62"/>
      <c r="H151" s="63"/>
      <c r="I151" s="356"/>
      <c r="J151" s="356"/>
      <c r="K151" s="357">
        <f t="shared" si="113"/>
        <v>0</v>
      </c>
      <c r="L151" s="183"/>
      <c r="M151" s="1131" t="s">
        <v>398</v>
      </c>
      <c r="N151" s="1128">
        <v>2</v>
      </c>
      <c r="O151" s="58"/>
      <c r="P151" s="307"/>
      <c r="Q151" s="307"/>
      <c r="R151" s="307"/>
      <c r="S151" s="263"/>
      <c r="T151" s="1129"/>
    </row>
    <row r="152" spans="1:20" ht="30.65" customHeight="1">
      <c r="A152" s="281"/>
      <c r="B152" s="167" t="s">
        <v>396</v>
      </c>
      <c r="C152" s="185" t="s">
        <v>406</v>
      </c>
      <c r="D152" s="186"/>
      <c r="E152" s="62"/>
      <c r="F152" s="62"/>
      <c r="G152" s="62"/>
      <c r="H152" s="63"/>
      <c r="I152" s="356"/>
      <c r="J152" s="356"/>
      <c r="K152" s="357">
        <f t="shared" si="113"/>
        <v>0</v>
      </c>
      <c r="L152" s="183"/>
      <c r="M152" s="1131" t="s">
        <v>398</v>
      </c>
      <c r="N152" s="1128">
        <v>8</v>
      </c>
      <c r="O152" s="58"/>
      <c r="P152" s="307"/>
      <c r="Q152" s="307"/>
      <c r="R152" s="307"/>
      <c r="S152" s="263"/>
      <c r="T152" s="1129"/>
    </row>
    <row r="153" spans="1:20" ht="30.65" customHeight="1">
      <c r="A153" s="281"/>
      <c r="B153" s="167" t="s">
        <v>396</v>
      </c>
      <c r="C153" s="185" t="s">
        <v>407</v>
      </c>
      <c r="D153" s="186"/>
      <c r="E153" s="62"/>
      <c r="F153" s="62"/>
      <c r="G153" s="62"/>
      <c r="H153" s="63"/>
      <c r="I153" s="356"/>
      <c r="J153" s="356"/>
      <c r="K153" s="357">
        <f t="shared" si="113"/>
        <v>0</v>
      </c>
      <c r="L153" s="183"/>
      <c r="M153" s="1131" t="s">
        <v>398</v>
      </c>
      <c r="N153" s="1128">
        <v>2</v>
      </c>
      <c r="O153" s="58"/>
      <c r="P153" s="307"/>
      <c r="Q153" s="307"/>
      <c r="R153" s="307"/>
      <c r="S153" s="263"/>
      <c r="T153" s="1129"/>
    </row>
    <row r="154" spans="1:20" ht="30.65" customHeight="1">
      <c r="A154" s="281"/>
      <c r="B154" s="167" t="s">
        <v>396</v>
      </c>
      <c r="C154" s="185" t="s">
        <v>408</v>
      </c>
      <c r="D154" s="186"/>
      <c r="E154" s="62"/>
      <c r="F154" s="62"/>
      <c r="G154" s="62"/>
      <c r="H154" s="63"/>
      <c r="I154" s="356"/>
      <c r="J154" s="356"/>
      <c r="K154" s="357">
        <f t="shared" si="113"/>
        <v>0</v>
      </c>
      <c r="L154" s="183"/>
      <c r="M154" s="1131" t="s">
        <v>409</v>
      </c>
      <c r="N154" s="1128">
        <v>3</v>
      </c>
      <c r="O154" s="58"/>
      <c r="P154" s="307"/>
      <c r="Q154" s="307"/>
      <c r="R154" s="307"/>
      <c r="S154" s="263"/>
      <c r="T154" s="1129"/>
    </row>
    <row r="155" spans="1:20" ht="30.65" customHeight="1">
      <c r="A155" s="281"/>
      <c r="B155" s="167" t="s">
        <v>396</v>
      </c>
      <c r="C155" s="185" t="s">
        <v>410</v>
      </c>
      <c r="D155" s="186"/>
      <c r="E155" s="62"/>
      <c r="F155" s="62"/>
      <c r="G155" s="62"/>
      <c r="H155" s="63"/>
      <c r="I155" s="356"/>
      <c r="J155" s="356"/>
      <c r="K155" s="357">
        <f t="shared" si="113"/>
        <v>0</v>
      </c>
      <c r="L155" s="183"/>
      <c r="M155" s="1131" t="s">
        <v>409</v>
      </c>
      <c r="N155" s="1128">
        <v>1</v>
      </c>
      <c r="O155" s="58"/>
      <c r="P155" s="307"/>
      <c r="Q155" s="307"/>
      <c r="R155" s="307"/>
      <c r="S155" s="263"/>
      <c r="T155" s="1129"/>
    </row>
    <row r="156" spans="1:20" ht="30.65" customHeight="1">
      <c r="A156" s="281"/>
      <c r="B156" s="167" t="s">
        <v>396</v>
      </c>
      <c r="C156" s="185" t="s">
        <v>411</v>
      </c>
      <c r="D156" s="186"/>
      <c r="E156" s="62"/>
      <c r="F156" s="62"/>
      <c r="G156" s="62"/>
      <c r="H156" s="63"/>
      <c r="I156" s="356"/>
      <c r="J156" s="356"/>
      <c r="K156" s="357">
        <f t="shared" si="113"/>
        <v>0</v>
      </c>
      <c r="L156" s="183"/>
      <c r="M156" s="1131" t="s">
        <v>412</v>
      </c>
      <c r="N156" s="1128">
        <v>1</v>
      </c>
      <c r="O156" s="58"/>
      <c r="P156" s="307"/>
      <c r="Q156" s="307"/>
      <c r="R156" s="307"/>
      <c r="S156" s="263"/>
      <c r="T156" s="1129"/>
    </row>
    <row r="157" spans="1:20" ht="30.65" customHeight="1">
      <c r="A157" s="281"/>
      <c r="B157" s="167" t="s">
        <v>396</v>
      </c>
      <c r="C157" s="185" t="s">
        <v>413</v>
      </c>
      <c r="D157" s="186"/>
      <c r="E157" s="62"/>
      <c r="F157" s="62"/>
      <c r="G157" s="62"/>
      <c r="H157" s="63"/>
      <c r="I157" s="356"/>
      <c r="J157" s="356"/>
      <c r="K157" s="357">
        <f t="shared" si="113"/>
        <v>0</v>
      </c>
      <c r="L157" s="183"/>
      <c r="M157" s="1131" t="s">
        <v>414</v>
      </c>
      <c r="N157" s="1128">
        <v>1</v>
      </c>
      <c r="O157" s="58"/>
      <c r="P157" s="307"/>
      <c r="Q157" s="307"/>
      <c r="R157" s="307"/>
      <c r="S157" s="263"/>
      <c r="T157" s="1129"/>
    </row>
    <row r="158" spans="1:20" ht="30.65" customHeight="1">
      <c r="A158" s="281"/>
      <c r="B158" s="167" t="s">
        <v>396</v>
      </c>
      <c r="C158" s="185" t="s">
        <v>415</v>
      </c>
      <c r="D158" s="186"/>
      <c r="E158" s="62"/>
      <c r="F158" s="62"/>
      <c r="G158" s="62"/>
      <c r="H158" s="63"/>
      <c r="I158" s="356"/>
      <c r="J158" s="356"/>
      <c r="K158" s="357">
        <f t="shared" si="113"/>
        <v>0</v>
      </c>
      <c r="L158" s="183"/>
      <c r="M158" s="1131" t="s">
        <v>414</v>
      </c>
      <c r="N158" s="1128">
        <v>1</v>
      </c>
      <c r="O158" s="58"/>
      <c r="P158" s="307"/>
      <c r="Q158" s="307"/>
      <c r="R158" s="307"/>
      <c r="S158" s="263"/>
      <c r="T158" s="1129"/>
    </row>
    <row r="159" spans="1:20" ht="30.65" customHeight="1">
      <c r="A159" s="281"/>
      <c r="B159" s="167" t="s">
        <v>396</v>
      </c>
      <c r="C159" s="185" t="s">
        <v>416</v>
      </c>
      <c r="D159" s="186" t="s">
        <v>78</v>
      </c>
      <c r="E159" s="62"/>
      <c r="F159" s="62"/>
      <c r="G159" s="62"/>
      <c r="H159" s="63"/>
      <c r="I159" s="356"/>
      <c r="J159" s="356"/>
      <c r="K159" s="357">
        <f t="shared" si="113"/>
        <v>0</v>
      </c>
      <c r="L159" s="183"/>
      <c r="M159" s="1131" t="s">
        <v>414</v>
      </c>
      <c r="N159" s="1128">
        <v>1</v>
      </c>
      <c r="O159" s="58"/>
      <c r="P159" s="307"/>
      <c r="Q159" s="307"/>
      <c r="R159" s="307"/>
      <c r="S159" s="263"/>
      <c r="T159" s="1129"/>
    </row>
    <row r="160" spans="1:20" ht="30.65" customHeight="1">
      <c r="A160" s="281"/>
      <c r="B160" s="167" t="s">
        <v>396</v>
      </c>
      <c r="C160" s="185" t="s">
        <v>417</v>
      </c>
      <c r="D160" s="186" t="s">
        <v>78</v>
      </c>
      <c r="E160" s="62"/>
      <c r="F160" s="62"/>
      <c r="G160" s="62"/>
      <c r="H160" s="63"/>
      <c r="I160" s="356"/>
      <c r="J160" s="356"/>
      <c r="K160" s="357">
        <f t="shared" si="113"/>
        <v>0</v>
      </c>
      <c r="L160" s="183"/>
      <c r="M160" s="1131" t="s">
        <v>418</v>
      </c>
      <c r="N160" s="1128">
        <v>1</v>
      </c>
      <c r="O160" s="58"/>
      <c r="P160" s="307"/>
      <c r="Q160" s="307"/>
      <c r="R160" s="307"/>
      <c r="S160" s="263"/>
      <c r="T160" s="1129"/>
    </row>
    <row r="161" spans="1:20" ht="30.65" customHeight="1">
      <c r="A161" s="281"/>
      <c r="B161" s="167" t="s">
        <v>396</v>
      </c>
      <c r="C161" s="187" t="s">
        <v>419</v>
      </c>
      <c r="D161" s="186" t="s">
        <v>78</v>
      </c>
      <c r="E161" s="62"/>
      <c r="F161" s="62"/>
      <c r="G161" s="62"/>
      <c r="H161" s="63"/>
      <c r="I161" s="356"/>
      <c r="J161" s="356"/>
      <c r="K161" s="357">
        <f t="shared" si="113"/>
        <v>0</v>
      </c>
      <c r="L161" s="183"/>
      <c r="M161" s="1131" t="s">
        <v>409</v>
      </c>
      <c r="N161" s="1128">
        <v>6</v>
      </c>
      <c r="O161" s="58"/>
      <c r="P161" s="307"/>
      <c r="Q161" s="307"/>
      <c r="R161" s="307"/>
      <c r="S161" s="263"/>
      <c r="T161" s="1129"/>
    </row>
    <row r="162" spans="1:20" ht="18.5">
      <c r="A162" s="383"/>
      <c r="B162" s="65"/>
      <c r="C162" s="81"/>
      <c r="D162" s="120"/>
      <c r="E162" s="67"/>
      <c r="F162" s="67"/>
      <c r="G162" s="67"/>
      <c r="H162" s="66"/>
      <c r="I162" s="359">
        <f>SUM(I144:I161)</f>
        <v>0</v>
      </c>
      <c r="J162" s="359">
        <f>SUM(J144:J161)</f>
        <v>0</v>
      </c>
      <c r="K162" s="358">
        <f>SUM(K144:K161)</f>
        <v>0</v>
      </c>
      <c r="L162" s="139"/>
      <c r="M162" s="111"/>
      <c r="N162" s="173">
        <f>SUM(N144:N161)</f>
        <v>52</v>
      </c>
      <c r="O162" s="274"/>
      <c r="P162" s="142"/>
      <c r="Q162" s="272"/>
      <c r="R162" s="273"/>
      <c r="S162" s="352">
        <f>SUM(S144:S161)</f>
        <v>0</v>
      </c>
      <c r="T162" s="70">
        <f>SUM(T144:T161)</f>
        <v>0</v>
      </c>
    </row>
    <row r="163" spans="1:20" ht="30.65" customHeight="1">
      <c r="A163" s="264"/>
      <c r="B163" s="1130"/>
      <c r="C163" s="152" t="s">
        <v>420</v>
      </c>
      <c r="D163" s="64"/>
      <c r="E163" s="64"/>
      <c r="F163" s="64"/>
      <c r="G163" s="129"/>
      <c r="H163" s="130"/>
      <c r="I163" s="381">
        <f t="shared" ref="I163:J163" si="114">I179</f>
        <v>341694.20454545459</v>
      </c>
      <c r="J163" s="382">
        <f t="shared" si="114"/>
        <v>0</v>
      </c>
      <c r="K163" s="253">
        <f>K179</f>
        <v>341694.20454545459</v>
      </c>
      <c r="L163" s="140"/>
      <c r="M163" s="265"/>
      <c r="N163" s="266"/>
      <c r="O163" s="267"/>
      <c r="P163" s="141"/>
      <c r="Q163" s="282"/>
      <c r="R163" s="283"/>
      <c r="S163" s="351">
        <f t="shared" ref="S163:T163" si="115">S179</f>
        <v>0</v>
      </c>
      <c r="T163" s="253">
        <f t="shared" si="115"/>
        <v>0</v>
      </c>
    </row>
    <row r="164" spans="1:20" ht="30.65" customHeight="1">
      <c r="A164" s="280"/>
      <c r="B164" s="167" t="s">
        <v>421</v>
      </c>
      <c r="C164" s="185" t="s">
        <v>422</v>
      </c>
      <c r="D164" s="128" t="s">
        <v>78</v>
      </c>
      <c r="E164" s="62"/>
      <c r="F164" s="62"/>
      <c r="G164" s="62"/>
      <c r="H164" s="63"/>
      <c r="I164" s="356">
        <v>36368.181818181816</v>
      </c>
      <c r="J164" s="356"/>
      <c r="K164" s="357">
        <f t="shared" ref="K164:K178" si="116">I164+J164</f>
        <v>36368.181818181816</v>
      </c>
      <c r="L164" s="183"/>
      <c r="M164" s="166"/>
      <c r="N164" s="1128"/>
      <c r="O164" s="58"/>
      <c r="P164" s="307"/>
      <c r="Q164" s="307"/>
      <c r="R164" s="308"/>
      <c r="S164" s="263"/>
      <c r="T164" s="1129"/>
    </row>
    <row r="165" spans="1:20" ht="30.65" customHeight="1">
      <c r="A165" s="281"/>
      <c r="B165" s="167" t="s">
        <v>421</v>
      </c>
      <c r="C165" s="185" t="s">
        <v>423</v>
      </c>
      <c r="D165" s="128" t="s">
        <v>78</v>
      </c>
      <c r="E165" s="62"/>
      <c r="F165" s="62"/>
      <c r="G165" s="62"/>
      <c r="H165" s="63"/>
      <c r="I165" s="356">
        <v>33590.454545454544</v>
      </c>
      <c r="J165" s="356"/>
      <c r="K165" s="357">
        <f t="shared" si="116"/>
        <v>33590.454545454544</v>
      </c>
      <c r="L165" s="183"/>
      <c r="M165" s="166"/>
      <c r="N165" s="1128"/>
      <c r="O165" s="58"/>
      <c r="P165" s="307"/>
      <c r="Q165" s="307"/>
      <c r="R165" s="308"/>
      <c r="S165" s="263"/>
      <c r="T165" s="1129"/>
    </row>
    <row r="166" spans="1:20" ht="30.65" customHeight="1">
      <c r="A166" s="281"/>
      <c r="B166" s="167" t="s">
        <v>421</v>
      </c>
      <c r="C166" s="185" t="s">
        <v>424</v>
      </c>
      <c r="D166" s="128" t="s">
        <v>78</v>
      </c>
      <c r="E166" s="62"/>
      <c r="F166" s="62"/>
      <c r="G166" s="62"/>
      <c r="H166" s="63"/>
      <c r="I166" s="356">
        <v>27906.136363636364</v>
      </c>
      <c r="J166" s="356"/>
      <c r="K166" s="357">
        <f t="shared" si="116"/>
        <v>27906.136363636364</v>
      </c>
      <c r="L166" s="183"/>
      <c r="M166" s="166"/>
      <c r="N166" s="1128"/>
      <c r="O166" s="58"/>
      <c r="P166" s="307"/>
      <c r="Q166" s="307"/>
      <c r="R166" s="308"/>
      <c r="S166" s="263"/>
      <c r="T166" s="1129"/>
    </row>
    <row r="167" spans="1:20" ht="30.65" customHeight="1">
      <c r="A167" s="281"/>
      <c r="B167" s="167" t="s">
        <v>421</v>
      </c>
      <c r="C167" s="185" t="s">
        <v>425</v>
      </c>
      <c r="D167" s="128" t="s">
        <v>78</v>
      </c>
      <c r="E167" s="62"/>
      <c r="F167" s="62"/>
      <c r="G167" s="62"/>
      <c r="H167" s="63"/>
      <c r="I167" s="356">
        <v>21047.727272727272</v>
      </c>
      <c r="J167" s="356"/>
      <c r="K167" s="357">
        <f t="shared" si="116"/>
        <v>21047.727272727272</v>
      </c>
      <c r="L167" s="183"/>
      <c r="M167" s="166"/>
      <c r="N167" s="1128"/>
      <c r="O167" s="58"/>
      <c r="P167" s="307"/>
      <c r="Q167" s="307"/>
      <c r="R167" s="308"/>
      <c r="S167" s="263"/>
      <c r="T167" s="1129"/>
    </row>
    <row r="168" spans="1:20" ht="30.65" customHeight="1">
      <c r="A168" s="281"/>
      <c r="B168" s="167" t="s">
        <v>421</v>
      </c>
      <c r="C168" s="185" t="s">
        <v>426</v>
      </c>
      <c r="D168" s="128" t="s">
        <v>78</v>
      </c>
      <c r="E168" s="62"/>
      <c r="F168" s="62"/>
      <c r="G168" s="62"/>
      <c r="H168" s="63"/>
      <c r="I168" s="356">
        <v>20145.681818181816</v>
      </c>
      <c r="J168" s="356"/>
      <c r="K168" s="357">
        <f t="shared" si="116"/>
        <v>20145.681818181816</v>
      </c>
      <c r="L168" s="183"/>
      <c r="M168" s="166"/>
      <c r="N168" s="1128"/>
      <c r="O168" s="58"/>
      <c r="P168" s="307"/>
      <c r="Q168" s="307"/>
      <c r="R168" s="308"/>
      <c r="S168" s="263"/>
      <c r="T168" s="1129"/>
    </row>
    <row r="169" spans="1:20" ht="30.65" customHeight="1">
      <c r="A169" s="281"/>
      <c r="B169" s="167" t="s">
        <v>421</v>
      </c>
      <c r="C169" s="185" t="s">
        <v>427</v>
      </c>
      <c r="D169" s="128" t="s">
        <v>78</v>
      </c>
      <c r="E169" s="62"/>
      <c r="F169" s="62"/>
      <c r="G169" s="62"/>
      <c r="H169" s="63"/>
      <c r="I169" s="356">
        <v>20145.681818181816</v>
      </c>
      <c r="J169" s="356"/>
      <c r="K169" s="357">
        <f t="shared" si="116"/>
        <v>20145.681818181816</v>
      </c>
      <c r="L169" s="183"/>
      <c r="M169" s="166"/>
      <c r="N169" s="1128"/>
      <c r="O169" s="58"/>
      <c r="P169" s="307"/>
      <c r="Q169" s="307"/>
      <c r="R169" s="308"/>
      <c r="S169" s="263"/>
      <c r="T169" s="1129"/>
    </row>
    <row r="170" spans="1:20" ht="30.65" customHeight="1">
      <c r="A170" s="281"/>
      <c r="B170" s="167" t="s">
        <v>421</v>
      </c>
      <c r="C170" s="185" t="s">
        <v>428</v>
      </c>
      <c r="D170" s="128" t="s">
        <v>78</v>
      </c>
      <c r="E170" s="62"/>
      <c r="F170" s="62"/>
      <c r="G170" s="62"/>
      <c r="H170" s="63"/>
      <c r="I170" s="356">
        <v>20446.363636363636</v>
      </c>
      <c r="J170" s="356"/>
      <c r="K170" s="357">
        <f t="shared" si="116"/>
        <v>20446.363636363636</v>
      </c>
      <c r="L170" s="183"/>
      <c r="M170" s="166"/>
      <c r="N170" s="1128"/>
      <c r="O170" s="58"/>
      <c r="P170" s="307"/>
      <c r="Q170" s="307"/>
      <c r="R170" s="308"/>
      <c r="S170" s="263"/>
      <c r="T170" s="1129"/>
    </row>
    <row r="171" spans="1:20" ht="30.65" customHeight="1">
      <c r="A171" s="281"/>
      <c r="B171" s="167" t="s">
        <v>421</v>
      </c>
      <c r="C171" s="185" t="s">
        <v>429</v>
      </c>
      <c r="D171" s="128" t="s">
        <v>78</v>
      </c>
      <c r="E171" s="62"/>
      <c r="F171" s="62"/>
      <c r="G171" s="62"/>
      <c r="H171" s="63"/>
      <c r="I171" s="356">
        <v>16086.477272727274</v>
      </c>
      <c r="J171" s="356"/>
      <c r="K171" s="357">
        <f t="shared" si="116"/>
        <v>16086.477272727274</v>
      </c>
      <c r="L171" s="183"/>
      <c r="M171" s="166"/>
      <c r="N171" s="1128"/>
      <c r="O171" s="58"/>
      <c r="P171" s="307"/>
      <c r="Q171" s="307"/>
      <c r="R171" s="308"/>
      <c r="S171" s="263"/>
      <c r="T171" s="1129"/>
    </row>
    <row r="172" spans="1:20" ht="30.65" customHeight="1">
      <c r="A172" s="281"/>
      <c r="B172" s="167" t="s">
        <v>421</v>
      </c>
      <c r="C172" s="185" t="s">
        <v>430</v>
      </c>
      <c r="D172" s="128" t="s">
        <v>78</v>
      </c>
      <c r="E172" s="62"/>
      <c r="F172" s="62"/>
      <c r="G172" s="62"/>
      <c r="H172" s="63"/>
      <c r="I172" s="356">
        <v>45703.636363636368</v>
      </c>
      <c r="J172" s="356"/>
      <c r="K172" s="357">
        <f t="shared" si="116"/>
        <v>45703.636363636368</v>
      </c>
      <c r="L172" s="183"/>
      <c r="M172" s="166"/>
      <c r="N172" s="1128"/>
      <c r="O172" s="58"/>
      <c r="P172" s="307"/>
      <c r="Q172" s="307"/>
      <c r="R172" s="308"/>
      <c r="S172" s="263"/>
      <c r="T172" s="1129"/>
    </row>
    <row r="173" spans="1:20" ht="30.65" customHeight="1">
      <c r="A173" s="281"/>
      <c r="B173" s="167" t="s">
        <v>421</v>
      </c>
      <c r="C173" s="185" t="s">
        <v>431</v>
      </c>
      <c r="D173" s="128" t="s">
        <v>78</v>
      </c>
      <c r="E173" s="62"/>
      <c r="F173" s="62"/>
      <c r="G173" s="62"/>
      <c r="H173" s="63"/>
      <c r="I173" s="356">
        <v>12027.272727272728</v>
      </c>
      <c r="J173" s="356"/>
      <c r="K173" s="357">
        <f t="shared" si="116"/>
        <v>12027.272727272728</v>
      </c>
      <c r="L173" s="183"/>
      <c r="M173" s="166"/>
      <c r="N173" s="1128"/>
      <c r="O173" s="58"/>
      <c r="P173" s="307"/>
      <c r="Q173" s="307"/>
      <c r="R173" s="308"/>
      <c r="S173" s="263"/>
      <c r="T173" s="1129"/>
    </row>
    <row r="174" spans="1:20" ht="30.65" customHeight="1">
      <c r="A174" s="281"/>
      <c r="B174" s="167" t="s">
        <v>421</v>
      </c>
      <c r="C174" s="185" t="s">
        <v>432</v>
      </c>
      <c r="D174" s="128" t="s">
        <v>78</v>
      </c>
      <c r="E174" s="62"/>
      <c r="F174" s="62"/>
      <c r="G174" s="62"/>
      <c r="H174" s="63"/>
      <c r="I174" s="356">
        <v>11726.590909090908</v>
      </c>
      <c r="J174" s="356"/>
      <c r="K174" s="357">
        <f t="shared" si="116"/>
        <v>11726.590909090908</v>
      </c>
      <c r="L174" s="183"/>
      <c r="M174" s="166"/>
      <c r="N174" s="1128"/>
      <c r="O174" s="58"/>
      <c r="P174" s="307"/>
      <c r="Q174" s="307"/>
      <c r="R174" s="308"/>
      <c r="S174" s="263"/>
      <c r="T174" s="1129"/>
    </row>
    <row r="175" spans="1:20" ht="30.65" customHeight="1">
      <c r="A175" s="281"/>
      <c r="B175" s="167" t="s">
        <v>421</v>
      </c>
      <c r="C175" s="185" t="s">
        <v>433</v>
      </c>
      <c r="D175" s="128" t="s">
        <v>78</v>
      </c>
      <c r="E175" s="62"/>
      <c r="F175" s="62"/>
      <c r="G175" s="62"/>
      <c r="H175" s="63"/>
      <c r="I175" s="356">
        <v>21818.181818181816</v>
      </c>
      <c r="J175" s="356"/>
      <c r="K175" s="357">
        <f t="shared" si="116"/>
        <v>21818.181818181816</v>
      </c>
      <c r="L175" s="183"/>
      <c r="M175" s="166"/>
      <c r="N175" s="1128"/>
      <c r="O175" s="58"/>
      <c r="P175" s="307"/>
      <c r="Q175" s="307"/>
      <c r="R175" s="308"/>
      <c r="S175" s="263"/>
      <c r="T175" s="1129"/>
    </row>
    <row r="176" spans="1:20" ht="30.65" customHeight="1">
      <c r="A176" s="281"/>
      <c r="B176" s="167" t="s">
        <v>421</v>
      </c>
      <c r="C176" s="185" t="s">
        <v>434</v>
      </c>
      <c r="D176" s="128" t="s">
        <v>78</v>
      </c>
      <c r="E176" s="62"/>
      <c r="F176" s="62"/>
      <c r="G176" s="62"/>
      <c r="H176" s="63"/>
      <c r="I176" s="356">
        <v>23181.818181818184</v>
      </c>
      <c r="J176" s="356"/>
      <c r="K176" s="357">
        <f t="shared" si="116"/>
        <v>23181.818181818184</v>
      </c>
      <c r="L176" s="183"/>
      <c r="M176" s="166"/>
      <c r="N176" s="1128"/>
      <c r="O176" s="58"/>
      <c r="P176" s="307"/>
      <c r="Q176" s="307"/>
      <c r="R176" s="308"/>
      <c r="S176" s="263"/>
      <c r="T176" s="1129"/>
    </row>
    <row r="177" spans="1:53" ht="30.65" customHeight="1">
      <c r="A177" s="281"/>
      <c r="B177" s="167" t="s">
        <v>421</v>
      </c>
      <c r="C177" s="185" t="s">
        <v>435</v>
      </c>
      <c r="D177" s="128" t="s">
        <v>78</v>
      </c>
      <c r="E177" s="62"/>
      <c r="F177" s="62"/>
      <c r="G177" s="62"/>
      <c r="H177" s="63"/>
      <c r="I177" s="356">
        <v>15750</v>
      </c>
      <c r="J177" s="356"/>
      <c r="K177" s="357">
        <f t="shared" si="116"/>
        <v>15750</v>
      </c>
      <c r="L177" s="183"/>
      <c r="M177" s="166"/>
      <c r="N177" s="1128"/>
      <c r="O177" s="58"/>
      <c r="P177" s="307"/>
      <c r="Q177" s="307"/>
      <c r="R177" s="308"/>
      <c r="S177" s="263"/>
      <c r="T177" s="1129"/>
    </row>
    <row r="178" spans="1:53" ht="30.65" customHeight="1">
      <c r="A178" s="279"/>
      <c r="B178" s="167" t="s">
        <v>421</v>
      </c>
      <c r="C178" s="185" t="s">
        <v>436</v>
      </c>
      <c r="D178" s="128" t="s">
        <v>78</v>
      </c>
      <c r="E178" s="62"/>
      <c r="F178" s="62"/>
      <c r="G178" s="62"/>
      <c r="H178" s="63"/>
      <c r="I178" s="356">
        <v>15750</v>
      </c>
      <c r="J178" s="356"/>
      <c r="K178" s="357">
        <f t="shared" si="116"/>
        <v>15750</v>
      </c>
      <c r="L178" s="183"/>
      <c r="M178" s="166"/>
      <c r="N178" s="1128"/>
      <c r="O178" s="58"/>
      <c r="P178" s="307"/>
      <c r="Q178" s="307"/>
      <c r="R178" s="308"/>
      <c r="S178" s="263"/>
      <c r="T178" s="1129"/>
    </row>
    <row r="179" spans="1:53" ht="18.5">
      <c r="A179" s="338"/>
      <c r="B179" s="65"/>
      <c r="C179" s="81"/>
      <c r="D179" s="120"/>
      <c r="E179" s="67"/>
      <c r="F179" s="67"/>
      <c r="G179" s="67"/>
      <c r="H179" s="66"/>
      <c r="I179" s="359">
        <f t="shared" ref="I179:J179" si="117">SUM(I164:I178)</f>
        <v>341694.20454545459</v>
      </c>
      <c r="J179" s="359">
        <f t="shared" si="117"/>
        <v>0</v>
      </c>
      <c r="K179" s="358">
        <f>SUM(K164:K178)</f>
        <v>341694.20454545459</v>
      </c>
      <c r="L179" s="139"/>
      <c r="M179" s="111"/>
      <c r="N179" s="173">
        <f>SUM(N164:N178)</f>
        <v>0</v>
      </c>
      <c r="O179" s="274">
        <f>SUM(O164:O178)</f>
        <v>0</v>
      </c>
      <c r="P179" s="142"/>
      <c r="Q179" s="272"/>
      <c r="R179" s="273"/>
      <c r="S179" s="352">
        <f>SUM(S164:S178)</f>
        <v>0</v>
      </c>
      <c r="T179" s="70">
        <f>SUM(T164:T178)</f>
        <v>0</v>
      </c>
    </row>
    <row r="180" spans="1:53" ht="26.5" thickBot="1">
      <c r="A180" s="268" t="s">
        <v>437</v>
      </c>
      <c r="B180" s="269"/>
      <c r="C180" s="270"/>
      <c r="D180" s="270"/>
      <c r="E180" s="1352" t="s">
        <v>475</v>
      </c>
      <c r="F180" s="1353"/>
      <c r="G180" s="1353"/>
      <c r="H180" s="1354"/>
      <c r="I180" s="115"/>
      <c r="J180" s="115"/>
      <c r="K180" s="271">
        <f>K5+K128</f>
        <v>1135054.1136363638</v>
      </c>
      <c r="L180" s="137"/>
      <c r="M180" s="115"/>
      <c r="N180" s="116"/>
      <c r="O180" s="117"/>
      <c r="P180" s="118"/>
      <c r="Q180" s="119"/>
      <c r="R180" s="119"/>
      <c r="S180" s="349">
        <f>S5+S128</f>
        <v>0</v>
      </c>
      <c r="T180" s="271">
        <f>T5+T128</f>
        <v>162126.39999999999</v>
      </c>
    </row>
    <row r="181" spans="1:53" ht="31">
      <c r="A181" s="1108"/>
      <c r="B181" s="1108"/>
      <c r="C181" s="1108"/>
      <c r="D181" s="1132" t="s">
        <v>439</v>
      </c>
      <c r="E181" s="159"/>
      <c r="F181" s="159"/>
      <c r="G181" s="159"/>
      <c r="H181" s="1133"/>
      <c r="I181" s="1134"/>
      <c r="J181" s="1134"/>
      <c r="K181" s="1135"/>
      <c r="L181" s="1136"/>
      <c r="M181" s="1136"/>
      <c r="N181" s="1136"/>
      <c r="O181" s="1108"/>
      <c r="P181" s="1108"/>
      <c r="Q181" s="162" t="s">
        <v>440</v>
      </c>
      <c r="R181" s="660">
        <f>IFERROR(AVERAGE(P8:P16,P19:P19, P21:P24,P26:P28,P32:P34,P37:P39,P41:P42,P46:P51,P53:P58,P60:P66,P69:P72,P74:P78,P80:P83,P86:P88,P90:P93,P97:P99,P101:P105,P108:P117,P120:P126),"")</f>
        <v>0.44867924528301883</v>
      </c>
      <c r="S181" s="163" t="s">
        <v>441</v>
      </c>
      <c r="T181" s="160"/>
    </row>
    <row r="182" spans="1:53" ht="32.25" customHeight="1">
      <c r="A182" s="1108"/>
      <c r="B182" s="1108"/>
      <c r="C182" s="1108"/>
      <c r="D182" s="1137" t="s">
        <v>442</v>
      </c>
      <c r="E182" s="164"/>
      <c r="F182" s="164"/>
      <c r="G182" s="164"/>
      <c r="H182" s="1138"/>
      <c r="I182" s="1138"/>
      <c r="J182" s="1138"/>
      <c r="K182" s="161">
        <f>K180-K181</f>
        <v>1135054.1136363638</v>
      </c>
      <c r="L182" s="1139"/>
      <c r="M182" s="1136"/>
      <c r="N182" s="1136"/>
      <c r="O182" s="1108"/>
      <c r="P182" s="1108"/>
      <c r="Q182" s="1108"/>
      <c r="R182" s="1108"/>
      <c r="S182" s="1108"/>
      <c r="T182" s="1108"/>
    </row>
    <row r="185" spans="1:53" ht="15.5">
      <c r="A185" s="1108"/>
      <c r="B185" s="1108"/>
      <c r="C185" s="1108"/>
      <c r="D185" s="1108"/>
      <c r="K185" s="1139"/>
      <c r="L185" s="1139"/>
      <c r="M185" s="1108"/>
      <c r="N185" s="1108"/>
      <c r="O185" s="1108"/>
      <c r="P185" s="1108"/>
      <c r="Q185" s="1108"/>
      <c r="R185" s="1108"/>
      <c r="S185" s="1108"/>
      <c r="T185" s="1108"/>
      <c r="X185" s="1264" t="s">
        <v>443</v>
      </c>
      <c r="Y185" s="1265" t="s">
        <v>444</v>
      </c>
      <c r="Z185" s="1264" t="s">
        <v>445</v>
      </c>
      <c r="AA185" s="1262" t="s">
        <v>446</v>
      </c>
      <c r="AB185" s="1262" t="s">
        <v>447</v>
      </c>
      <c r="AC185" s="1264" t="s">
        <v>448</v>
      </c>
      <c r="AD185" s="1264"/>
      <c r="AE185" s="1264"/>
      <c r="AF185" s="1264"/>
      <c r="AG185" s="1265" t="s">
        <v>241</v>
      </c>
      <c r="AH185" s="1265" t="s">
        <v>242</v>
      </c>
      <c r="AI185" s="1267" t="s">
        <v>449</v>
      </c>
      <c r="AJ185" s="1267" t="s">
        <v>450</v>
      </c>
      <c r="AK185" s="392" t="s">
        <v>451</v>
      </c>
      <c r="AL185" s="1258" t="s">
        <v>452</v>
      </c>
      <c r="AM185" s="1258"/>
      <c r="AN185" s="1258"/>
      <c r="AO185" s="1258"/>
      <c r="AP185" s="1258"/>
      <c r="AQ185" s="1259" t="s">
        <v>453</v>
      </c>
      <c r="AR185" s="1260"/>
      <c r="AS185" s="1260"/>
      <c r="AT185" s="1260"/>
      <c r="AU185" s="1260"/>
      <c r="AV185" s="1260"/>
      <c r="AW185" s="1261"/>
      <c r="AX185" s="1258" t="s">
        <v>454</v>
      </c>
      <c r="AY185" s="1258"/>
      <c r="AZ185" s="1258"/>
      <c r="BA185" s="1262" t="s">
        <v>455</v>
      </c>
    </row>
    <row r="186" spans="1:53" ht="77.5">
      <c r="A186" s="1108"/>
      <c r="B186" s="1108"/>
      <c r="C186" s="1108"/>
      <c r="D186" s="1108"/>
      <c r="K186" s="1139"/>
      <c r="L186" s="1139"/>
      <c r="M186" s="1108"/>
      <c r="N186" s="1108"/>
      <c r="O186" s="1108"/>
      <c r="P186" s="1108"/>
      <c r="Q186" s="1108"/>
      <c r="R186" s="1108"/>
      <c r="S186" s="1108"/>
      <c r="T186" s="1108"/>
      <c r="X186" s="1264"/>
      <c r="Y186" s="1266"/>
      <c r="Z186" s="1264"/>
      <c r="AA186" s="1263"/>
      <c r="AB186" s="1263"/>
      <c r="AC186" s="391" t="s">
        <v>248</v>
      </c>
      <c r="AD186" s="391" t="s">
        <v>249</v>
      </c>
      <c r="AE186" s="391" t="s">
        <v>250</v>
      </c>
      <c r="AF186" s="391" t="s">
        <v>251</v>
      </c>
      <c r="AG186" s="1266"/>
      <c r="AH186" s="1266"/>
      <c r="AI186" s="1268"/>
      <c r="AJ186" s="1268"/>
      <c r="AK186" s="394"/>
      <c r="AL186" s="393" t="s">
        <v>456</v>
      </c>
      <c r="AM186" s="393" t="s">
        <v>457</v>
      </c>
      <c r="AN186" s="393" t="s">
        <v>458</v>
      </c>
      <c r="AO186" s="393" t="s">
        <v>459</v>
      </c>
      <c r="AP186" s="393" t="s">
        <v>460</v>
      </c>
      <c r="AQ186" s="393" t="s">
        <v>461</v>
      </c>
      <c r="AR186" s="393" t="s">
        <v>462</v>
      </c>
      <c r="AS186" s="393" t="s">
        <v>463</v>
      </c>
      <c r="AT186" s="393" t="s">
        <v>464</v>
      </c>
      <c r="AU186" s="393" t="s">
        <v>465</v>
      </c>
      <c r="AV186" s="393" t="s">
        <v>466</v>
      </c>
      <c r="AW186" s="393" t="s">
        <v>467</v>
      </c>
      <c r="AX186" s="393" t="s">
        <v>468</v>
      </c>
      <c r="AY186" s="393" t="s">
        <v>469</v>
      </c>
      <c r="AZ186" s="393" t="s">
        <v>470</v>
      </c>
      <c r="BA186" s="1263"/>
    </row>
    <row r="187" spans="1:53" ht="15.5">
      <c r="A187" s="1108"/>
      <c r="B187" s="1108"/>
      <c r="C187" s="1108"/>
      <c r="D187" s="1108"/>
      <c r="K187" s="1139"/>
      <c r="L187" s="1139"/>
      <c r="M187" s="1108"/>
      <c r="N187" s="1108"/>
      <c r="O187" s="1108"/>
      <c r="P187" s="1108"/>
      <c r="Q187" s="1108"/>
      <c r="R187" s="1108"/>
      <c r="S187" s="1108"/>
      <c r="T187" s="1108"/>
      <c r="X187" s="395"/>
      <c r="Y187" s="396"/>
      <c r="Z187" s="395"/>
      <c r="AA187" s="397"/>
      <c r="AB187" s="397"/>
      <c r="AC187" s="395"/>
      <c r="AD187" s="395"/>
      <c r="AE187" s="395"/>
      <c r="AF187" s="395"/>
      <c r="AG187" s="396"/>
      <c r="AH187" s="398"/>
      <c r="AI187" s="399"/>
      <c r="AJ187" s="399"/>
      <c r="AK187" s="400"/>
      <c r="AL187" s="401"/>
      <c r="AM187" s="401"/>
      <c r="AN187" s="401"/>
      <c r="AO187" s="401"/>
      <c r="AP187" s="401"/>
      <c r="AQ187" s="401"/>
      <c r="AR187" s="401"/>
      <c r="AS187" s="401"/>
      <c r="AT187" s="401"/>
      <c r="AU187" s="401"/>
      <c r="AV187" s="401"/>
      <c r="AW187" s="401"/>
      <c r="AX187" s="399"/>
      <c r="AY187" s="399"/>
      <c r="AZ187" s="399"/>
      <c r="BA187" s="397"/>
    </row>
    <row r="188" spans="1:53" ht="62">
      <c r="A188" s="390"/>
      <c r="B188" s="1108"/>
      <c r="C188" s="1108"/>
      <c r="D188" s="1108"/>
      <c r="K188" s="1139"/>
      <c r="L188" s="1139"/>
      <c r="M188" s="1108"/>
      <c r="N188" s="1108"/>
      <c r="O188" s="1108"/>
      <c r="P188" s="1108"/>
      <c r="Q188" s="1108"/>
      <c r="R188" s="1108"/>
      <c r="S188" s="1108"/>
      <c r="T188" s="1108"/>
      <c r="X188" s="316"/>
      <c r="Y188" s="317"/>
      <c r="Z188" s="316"/>
      <c r="AA188" s="316" t="s">
        <v>471</v>
      </c>
      <c r="AB188" s="316"/>
      <c r="AC188" s="316">
        <f>SUM(AC189:AC203)</f>
        <v>0</v>
      </c>
      <c r="AD188" s="316">
        <f>SUM(AD189:AD203)</f>
        <v>0</v>
      </c>
      <c r="AE188" s="316">
        <f>SUM(AE189:AE203)</f>
        <v>0</v>
      </c>
      <c r="AF188" s="316">
        <f>SUM(AF189:AF203)</f>
        <v>0</v>
      </c>
      <c r="AG188" s="318"/>
      <c r="AH188" s="319"/>
      <c r="AI188" s="320"/>
      <c r="AJ188" s="320">
        <f t="shared" ref="AJ188" si="118">SUM(AJ189:AJ203)</f>
        <v>341694.20454545459</v>
      </c>
      <c r="AK188" s="321"/>
      <c r="AL188" s="320">
        <f>SUM(AL189:AL203)</f>
        <v>58379.868749999994</v>
      </c>
      <c r="AM188" s="320">
        <f t="shared" ref="AM188:AV188" si="119">SUM(AM189:AM203)</f>
        <v>41832.346022727274</v>
      </c>
      <c r="AN188" s="320">
        <f t="shared" si="119"/>
        <v>133332.87613636366</v>
      </c>
      <c r="AO188" s="320">
        <f>SUM(AO189:AO203)</f>
        <v>62713.227272727265</v>
      </c>
      <c r="AP188" s="320">
        <f t="shared" si="119"/>
        <v>45435.88636363636</v>
      </c>
      <c r="AQ188" s="320">
        <f t="shared" si="119"/>
        <v>56949.034090909088</v>
      </c>
      <c r="AR188" s="320">
        <f>SUM(AR189:AR203)</f>
        <v>56949.034090909088</v>
      </c>
      <c r="AS188" s="320">
        <f t="shared" si="119"/>
        <v>56949.034090909088</v>
      </c>
      <c r="AT188" s="320">
        <f t="shared" si="119"/>
        <v>56949.034090909088</v>
      </c>
      <c r="AU188" s="320">
        <f t="shared" si="119"/>
        <v>56949.034090909088</v>
      </c>
      <c r="AV188" s="320">
        <f t="shared" si="119"/>
        <v>56949.034090909088</v>
      </c>
      <c r="AW188" s="320">
        <f>SUM(AW189:AW203)</f>
        <v>341694.20454545459</v>
      </c>
      <c r="AX188" s="320">
        <f t="shared" ref="AX188:AZ188" si="120">SUM(AX189:AX203)</f>
        <v>341694.20454545459</v>
      </c>
      <c r="AY188" s="320">
        <f t="shared" si="120"/>
        <v>0</v>
      </c>
      <c r="AZ188" s="320">
        <f t="shared" si="120"/>
        <v>341694.20454545459</v>
      </c>
      <c r="BA188" s="322"/>
    </row>
    <row r="189" spans="1:53" ht="46.5">
      <c r="A189" s="1108"/>
      <c r="B189" s="1108"/>
      <c r="C189" s="1108"/>
      <c r="D189" s="1108"/>
      <c r="K189" s="1139"/>
      <c r="L189" s="1139"/>
      <c r="M189" s="1108"/>
      <c r="N189" s="1108"/>
      <c r="O189" s="1108"/>
      <c r="P189" s="1108"/>
      <c r="Q189" s="1108"/>
      <c r="R189" s="1108"/>
      <c r="S189" s="1108"/>
      <c r="T189" s="1108"/>
      <c r="X189" s="323" t="s">
        <v>421</v>
      </c>
      <c r="Y189" s="324"/>
      <c r="Z189" s="323"/>
      <c r="AA189" s="325" t="s">
        <v>422</v>
      </c>
      <c r="AB189" s="326" t="s">
        <v>78</v>
      </c>
      <c r="AC189" s="327"/>
      <c r="AD189" s="327"/>
      <c r="AE189" s="327"/>
      <c r="AF189" s="327"/>
      <c r="AG189" s="328" t="s">
        <v>472</v>
      </c>
      <c r="AH189" s="329">
        <v>15</v>
      </c>
      <c r="AI189" s="330">
        <v>2424.5454545454545</v>
      </c>
      <c r="AJ189" s="330">
        <f t="shared" ref="AJ189:AJ203" si="121">AI189*AH189</f>
        <v>36368.181818181816</v>
      </c>
      <c r="AK189" s="331"/>
      <c r="AL189" s="332">
        <v>18184.090909090908</v>
      </c>
      <c r="AM189" s="332">
        <v>3636.818181818182</v>
      </c>
      <c r="AN189" s="332">
        <v>7273.636363636364</v>
      </c>
      <c r="AO189" s="332">
        <v>1818.409090909091</v>
      </c>
      <c r="AP189" s="332">
        <v>5455.2272727272721</v>
      </c>
      <c r="AQ189" s="333">
        <f>AJ189/6</f>
        <v>6061.363636363636</v>
      </c>
      <c r="AR189" s="333">
        <v>6061.363636363636</v>
      </c>
      <c r="AS189" s="333">
        <v>6061.363636363636</v>
      </c>
      <c r="AT189" s="333">
        <v>6061.363636363636</v>
      </c>
      <c r="AU189" s="333">
        <v>6061.363636363636</v>
      </c>
      <c r="AV189" s="333">
        <v>6061.363636363636</v>
      </c>
      <c r="AW189" s="334">
        <f t="shared" ref="AW189:AW203" si="122">AH189*AI189</f>
        <v>36368.181818181816</v>
      </c>
      <c r="AX189" s="334">
        <f>AW189</f>
        <v>36368.181818181816</v>
      </c>
      <c r="AY189" s="334">
        <f t="shared" ref="AY189:AY203" si="123">AJ189-AX189</f>
        <v>0</v>
      </c>
      <c r="AZ189" s="334">
        <f>AY189+AX189</f>
        <v>36368.181818181816</v>
      </c>
      <c r="BA189" s="335"/>
    </row>
    <row r="190" spans="1:53" ht="46.5">
      <c r="A190" s="1108"/>
      <c r="B190" s="1108"/>
      <c r="C190" s="1108"/>
      <c r="D190" s="1108"/>
      <c r="K190" s="1139"/>
      <c r="L190" s="1139"/>
      <c r="M190" s="1108"/>
      <c r="N190" s="1108"/>
      <c r="O190" s="1108"/>
      <c r="P190" s="1108"/>
      <c r="Q190" s="1108"/>
      <c r="R190" s="1108"/>
      <c r="S190" s="1108"/>
      <c r="T190" s="1108"/>
      <c r="X190" s="323" t="s">
        <v>421</v>
      </c>
      <c r="Y190" s="324"/>
      <c r="Z190" s="323"/>
      <c r="AA190" s="325" t="s">
        <v>423</v>
      </c>
      <c r="AB190" s="326" t="s">
        <v>78</v>
      </c>
      <c r="AC190" s="327"/>
      <c r="AD190" s="327"/>
      <c r="AE190" s="327"/>
      <c r="AF190" s="327"/>
      <c r="AG190" s="328" t="s">
        <v>472</v>
      </c>
      <c r="AH190" s="329">
        <v>15</v>
      </c>
      <c r="AI190" s="330">
        <v>2239.3636363636365</v>
      </c>
      <c r="AJ190" s="330">
        <f t="shared" si="121"/>
        <v>33590.454545454544</v>
      </c>
      <c r="AK190" s="331"/>
      <c r="AL190" s="332">
        <v>6718.090909090909</v>
      </c>
      <c r="AM190" s="332">
        <v>6718.090909090909</v>
      </c>
      <c r="AN190" s="332">
        <v>11756.65909090909</v>
      </c>
      <c r="AO190" s="332">
        <v>3359.0454545454545</v>
      </c>
      <c r="AP190" s="332">
        <v>5038.5681818181811</v>
      </c>
      <c r="AQ190" s="333">
        <f t="shared" ref="AQ190:AQ203" si="124">AJ190/6</f>
        <v>5598.409090909091</v>
      </c>
      <c r="AR190" s="333">
        <v>5598.409090909091</v>
      </c>
      <c r="AS190" s="333">
        <v>5598.409090909091</v>
      </c>
      <c r="AT190" s="333">
        <v>5598.409090909091</v>
      </c>
      <c r="AU190" s="333">
        <v>5598.409090909091</v>
      </c>
      <c r="AV190" s="333">
        <v>5598.409090909091</v>
      </c>
      <c r="AW190" s="334">
        <f t="shared" si="122"/>
        <v>33590.454545454544</v>
      </c>
      <c r="AX190" s="334">
        <f t="shared" ref="AX190:AX203" si="125">AW190</f>
        <v>33590.454545454544</v>
      </c>
      <c r="AY190" s="334">
        <f t="shared" si="123"/>
        <v>0</v>
      </c>
      <c r="AZ190" s="334">
        <f t="shared" ref="AZ190:AZ203" si="126">AY190+AX190</f>
        <v>33590.454545454544</v>
      </c>
      <c r="BA190" s="335"/>
    </row>
    <row r="191" spans="1:53" ht="108.5">
      <c r="A191" s="1108"/>
      <c r="B191" s="1108"/>
      <c r="C191" s="1108"/>
      <c r="D191" s="1108"/>
      <c r="K191" s="1139"/>
      <c r="L191" s="1139"/>
      <c r="M191" s="1108"/>
      <c r="N191" s="1108"/>
      <c r="O191" s="1108"/>
      <c r="P191" s="1108"/>
      <c r="Q191" s="1108"/>
      <c r="R191" s="1108"/>
      <c r="S191" s="1108"/>
      <c r="T191" s="1108"/>
      <c r="X191" s="323" t="s">
        <v>421</v>
      </c>
      <c r="Y191" s="324"/>
      <c r="Z191" s="323"/>
      <c r="AA191" s="325" t="s">
        <v>424</v>
      </c>
      <c r="AB191" s="326" t="s">
        <v>78</v>
      </c>
      <c r="AC191" s="327"/>
      <c r="AD191" s="327"/>
      <c r="AE191" s="327"/>
      <c r="AF191" s="327"/>
      <c r="AG191" s="328" t="s">
        <v>472</v>
      </c>
      <c r="AH191" s="329">
        <v>15</v>
      </c>
      <c r="AI191" s="330">
        <v>1860.409090909091</v>
      </c>
      <c r="AJ191" s="330">
        <f t="shared" si="121"/>
        <v>27906.136363636364</v>
      </c>
      <c r="AK191" s="331"/>
      <c r="AL191" s="332">
        <v>3488.2670454545455</v>
      </c>
      <c r="AM191" s="332">
        <v>3488.2670454545455</v>
      </c>
      <c r="AN191" s="332">
        <v>9767.1477272727261</v>
      </c>
      <c r="AO191" s="332">
        <v>5581.227272727273</v>
      </c>
      <c r="AP191" s="332">
        <v>5581.227272727273</v>
      </c>
      <c r="AQ191" s="333">
        <f t="shared" si="124"/>
        <v>4651.022727272727</v>
      </c>
      <c r="AR191" s="333">
        <v>4651.022727272727</v>
      </c>
      <c r="AS191" s="333">
        <v>4651.022727272727</v>
      </c>
      <c r="AT191" s="333">
        <v>4651.022727272727</v>
      </c>
      <c r="AU191" s="333">
        <v>4651.022727272727</v>
      </c>
      <c r="AV191" s="333">
        <v>4651.022727272727</v>
      </c>
      <c r="AW191" s="334">
        <f t="shared" si="122"/>
        <v>27906.136363636364</v>
      </c>
      <c r="AX191" s="334">
        <f t="shared" si="125"/>
        <v>27906.136363636364</v>
      </c>
      <c r="AY191" s="334">
        <f t="shared" si="123"/>
        <v>0</v>
      </c>
      <c r="AZ191" s="334">
        <f t="shared" si="126"/>
        <v>27906.136363636364</v>
      </c>
      <c r="BA191" s="335"/>
    </row>
    <row r="192" spans="1:53" ht="46.5">
      <c r="A192" s="1108"/>
      <c r="B192" s="1108"/>
      <c r="C192" s="1108"/>
      <c r="D192" s="1108"/>
      <c r="K192" s="1139"/>
      <c r="L192" s="1139"/>
      <c r="M192" s="1108"/>
      <c r="N192" s="1108"/>
      <c r="O192" s="1108"/>
      <c r="P192" s="1108"/>
      <c r="Q192" s="1108"/>
      <c r="R192" s="1108"/>
      <c r="S192" s="1108"/>
      <c r="T192" s="1108"/>
      <c r="X192" s="323" t="s">
        <v>421</v>
      </c>
      <c r="Y192" s="324"/>
      <c r="Z192" s="323"/>
      <c r="AA192" s="325" t="s">
        <v>425</v>
      </c>
      <c r="AB192" s="326" t="s">
        <v>78</v>
      </c>
      <c r="AC192" s="327"/>
      <c r="AD192" s="327"/>
      <c r="AE192" s="327"/>
      <c r="AF192" s="327"/>
      <c r="AG192" s="328" t="s">
        <v>472</v>
      </c>
      <c r="AH192" s="329">
        <v>15</v>
      </c>
      <c r="AI192" s="330">
        <v>1403.1818181818182</v>
      </c>
      <c r="AJ192" s="330">
        <f t="shared" si="121"/>
        <v>21047.727272727272</v>
      </c>
      <c r="AK192" s="331"/>
      <c r="AL192" s="332">
        <v>3157.1590909090905</v>
      </c>
      <c r="AM192" s="332">
        <v>3157.1590909090905</v>
      </c>
      <c r="AN192" s="332">
        <v>10523.863636363636</v>
      </c>
      <c r="AO192" s="332">
        <v>4209.545454545455</v>
      </c>
      <c r="AP192" s="332">
        <v>0</v>
      </c>
      <c r="AQ192" s="333">
        <f t="shared" si="124"/>
        <v>3507.9545454545455</v>
      </c>
      <c r="AR192" s="333">
        <v>3507.9545454545455</v>
      </c>
      <c r="AS192" s="333">
        <v>3507.9545454545455</v>
      </c>
      <c r="AT192" s="333">
        <v>3507.9545454545455</v>
      </c>
      <c r="AU192" s="333">
        <v>3507.9545454545455</v>
      </c>
      <c r="AV192" s="333">
        <v>3507.9545454545455</v>
      </c>
      <c r="AW192" s="334">
        <f t="shared" si="122"/>
        <v>21047.727272727272</v>
      </c>
      <c r="AX192" s="334">
        <f t="shared" si="125"/>
        <v>21047.727272727272</v>
      </c>
      <c r="AY192" s="334">
        <f t="shared" si="123"/>
        <v>0</v>
      </c>
      <c r="AZ192" s="334">
        <f t="shared" si="126"/>
        <v>21047.727272727272</v>
      </c>
      <c r="BA192" s="335"/>
    </row>
    <row r="193" spans="24:53" ht="62">
      <c r="X193" s="323" t="s">
        <v>421</v>
      </c>
      <c r="Y193" s="324"/>
      <c r="Z193" s="323"/>
      <c r="AA193" s="325" t="s">
        <v>426</v>
      </c>
      <c r="AB193" s="326" t="s">
        <v>78</v>
      </c>
      <c r="AC193" s="327"/>
      <c r="AD193" s="327"/>
      <c r="AE193" s="327"/>
      <c r="AF193" s="327"/>
      <c r="AG193" s="328" t="s">
        <v>472</v>
      </c>
      <c r="AH193" s="329">
        <v>15</v>
      </c>
      <c r="AI193" s="336">
        <v>1343.0454545454545</v>
      </c>
      <c r="AJ193" s="330">
        <f t="shared" si="121"/>
        <v>20145.681818181816</v>
      </c>
      <c r="AK193" s="331"/>
      <c r="AL193" s="332">
        <v>2014.568181818182</v>
      </c>
      <c r="AM193" s="332">
        <v>4029.136363636364</v>
      </c>
      <c r="AN193" s="332">
        <v>10072.84090909091</v>
      </c>
      <c r="AO193" s="332">
        <v>4029.136363636364</v>
      </c>
      <c r="AP193" s="332">
        <v>0</v>
      </c>
      <c r="AQ193" s="333">
        <f t="shared" si="124"/>
        <v>3357.613636363636</v>
      </c>
      <c r="AR193" s="333">
        <v>3357.613636363636</v>
      </c>
      <c r="AS193" s="333">
        <v>3357.613636363636</v>
      </c>
      <c r="AT193" s="333">
        <v>3357.613636363636</v>
      </c>
      <c r="AU193" s="333">
        <v>3357.613636363636</v>
      </c>
      <c r="AV193" s="333">
        <v>3357.613636363636</v>
      </c>
      <c r="AW193" s="334">
        <f t="shared" si="122"/>
        <v>20145.681818181816</v>
      </c>
      <c r="AX193" s="334">
        <f t="shared" si="125"/>
        <v>20145.681818181816</v>
      </c>
      <c r="AY193" s="334">
        <f t="shared" si="123"/>
        <v>0</v>
      </c>
      <c r="AZ193" s="334">
        <f t="shared" si="126"/>
        <v>20145.681818181816</v>
      </c>
      <c r="BA193" s="335"/>
    </row>
    <row r="194" spans="24:53" ht="77.5">
      <c r="X194" s="323" t="s">
        <v>421</v>
      </c>
      <c r="Y194" s="324"/>
      <c r="Z194" s="323"/>
      <c r="AA194" s="325" t="s">
        <v>427</v>
      </c>
      <c r="AB194" s="326" t="s">
        <v>78</v>
      </c>
      <c r="AC194" s="327"/>
      <c r="AD194" s="327"/>
      <c r="AE194" s="327"/>
      <c r="AF194" s="327"/>
      <c r="AG194" s="328" t="s">
        <v>472</v>
      </c>
      <c r="AH194" s="329">
        <v>15</v>
      </c>
      <c r="AI194" s="336">
        <v>1343.0454545454545</v>
      </c>
      <c r="AJ194" s="330">
        <f t="shared" si="121"/>
        <v>20145.681818181816</v>
      </c>
      <c r="AK194" s="331"/>
      <c r="AL194" s="332">
        <v>2518.2102272727275</v>
      </c>
      <c r="AM194" s="332">
        <v>2518.2102272727275</v>
      </c>
      <c r="AN194" s="332">
        <v>7050.9886363636369</v>
      </c>
      <c r="AO194" s="332">
        <v>4029.136363636364</v>
      </c>
      <c r="AP194" s="332">
        <v>4029.136363636364</v>
      </c>
      <c r="AQ194" s="333">
        <f t="shared" si="124"/>
        <v>3357.613636363636</v>
      </c>
      <c r="AR194" s="333">
        <v>3357.613636363636</v>
      </c>
      <c r="AS194" s="333">
        <v>3357.613636363636</v>
      </c>
      <c r="AT194" s="333">
        <v>3357.613636363636</v>
      </c>
      <c r="AU194" s="333">
        <v>3357.613636363636</v>
      </c>
      <c r="AV194" s="333">
        <v>3357.613636363636</v>
      </c>
      <c r="AW194" s="334">
        <f t="shared" si="122"/>
        <v>20145.681818181816</v>
      </c>
      <c r="AX194" s="334">
        <f t="shared" si="125"/>
        <v>20145.681818181816</v>
      </c>
      <c r="AY194" s="334">
        <f t="shared" si="123"/>
        <v>0</v>
      </c>
      <c r="AZ194" s="334">
        <f t="shared" si="126"/>
        <v>20145.681818181816</v>
      </c>
      <c r="BA194" s="335"/>
    </row>
    <row r="195" spans="24:53" ht="124">
      <c r="X195" s="323" t="s">
        <v>421</v>
      </c>
      <c r="Y195" s="324"/>
      <c r="Z195" s="323"/>
      <c r="AA195" s="325" t="s">
        <v>428</v>
      </c>
      <c r="AB195" s="326" t="s">
        <v>78</v>
      </c>
      <c r="AC195" s="327"/>
      <c r="AD195" s="327"/>
      <c r="AE195" s="327"/>
      <c r="AF195" s="327"/>
      <c r="AG195" s="328" t="s">
        <v>472</v>
      </c>
      <c r="AH195" s="329">
        <v>15</v>
      </c>
      <c r="AI195" s="330">
        <v>1363.090909090909</v>
      </c>
      <c r="AJ195" s="330">
        <f t="shared" si="121"/>
        <v>20446.363636363636</v>
      </c>
      <c r="AK195" s="331"/>
      <c r="AL195" s="332">
        <v>0</v>
      </c>
      <c r="AM195" s="332">
        <v>0</v>
      </c>
      <c r="AN195" s="332">
        <v>0</v>
      </c>
      <c r="AO195" s="332">
        <v>20446.363636363636</v>
      </c>
      <c r="AP195" s="332">
        <v>0</v>
      </c>
      <c r="AQ195" s="333">
        <f t="shared" si="124"/>
        <v>3407.7272727272725</v>
      </c>
      <c r="AR195" s="333">
        <v>3407.7272727272725</v>
      </c>
      <c r="AS195" s="333">
        <v>3407.7272727272725</v>
      </c>
      <c r="AT195" s="333">
        <v>3407.7272727272725</v>
      </c>
      <c r="AU195" s="333">
        <v>3407.7272727272725</v>
      </c>
      <c r="AV195" s="333">
        <v>3407.7272727272725</v>
      </c>
      <c r="AW195" s="334">
        <f t="shared" si="122"/>
        <v>20446.363636363636</v>
      </c>
      <c r="AX195" s="334">
        <f t="shared" si="125"/>
        <v>20446.363636363636</v>
      </c>
      <c r="AY195" s="334">
        <f t="shared" si="123"/>
        <v>0</v>
      </c>
      <c r="AZ195" s="334">
        <f t="shared" si="126"/>
        <v>20446.363636363636</v>
      </c>
      <c r="BA195" s="335"/>
    </row>
    <row r="196" spans="24:53" ht="124">
      <c r="X196" s="323" t="s">
        <v>421</v>
      </c>
      <c r="Y196" s="324"/>
      <c r="Z196" s="323"/>
      <c r="AA196" s="325" t="s">
        <v>429</v>
      </c>
      <c r="AB196" s="326" t="s">
        <v>78</v>
      </c>
      <c r="AC196" s="327"/>
      <c r="AD196" s="327"/>
      <c r="AE196" s="327"/>
      <c r="AF196" s="327"/>
      <c r="AG196" s="328" t="s">
        <v>472</v>
      </c>
      <c r="AH196" s="329">
        <v>15</v>
      </c>
      <c r="AI196" s="330">
        <v>1072.4318181818182</v>
      </c>
      <c r="AJ196" s="330">
        <f t="shared" si="121"/>
        <v>16086.477272727274</v>
      </c>
      <c r="AK196" s="331"/>
      <c r="AL196" s="332">
        <v>2010.809659090909</v>
      </c>
      <c r="AM196" s="332">
        <v>2010.809659090909</v>
      </c>
      <c r="AN196" s="332">
        <v>5630.267045454545</v>
      </c>
      <c r="AO196" s="332">
        <v>3217.2954545454545</v>
      </c>
      <c r="AP196" s="332">
        <v>3217.2954545454545</v>
      </c>
      <c r="AQ196" s="333">
        <f t="shared" si="124"/>
        <v>2681.0795454545455</v>
      </c>
      <c r="AR196" s="333">
        <v>2681.0795454545455</v>
      </c>
      <c r="AS196" s="333">
        <v>2681.0795454545455</v>
      </c>
      <c r="AT196" s="333">
        <v>2681.0795454545455</v>
      </c>
      <c r="AU196" s="333">
        <v>2681.0795454545455</v>
      </c>
      <c r="AV196" s="333">
        <v>2681.0795454545455</v>
      </c>
      <c r="AW196" s="334">
        <f t="shared" si="122"/>
        <v>16086.477272727274</v>
      </c>
      <c r="AX196" s="334">
        <f t="shared" si="125"/>
        <v>16086.477272727274</v>
      </c>
      <c r="AY196" s="334">
        <f t="shared" si="123"/>
        <v>0</v>
      </c>
      <c r="AZ196" s="334">
        <f t="shared" si="126"/>
        <v>16086.477272727274</v>
      </c>
      <c r="BA196" s="335"/>
    </row>
    <row r="197" spans="24:53" ht="77.5">
      <c r="X197" s="323" t="s">
        <v>421</v>
      </c>
      <c r="Y197" s="324"/>
      <c r="Z197" s="323"/>
      <c r="AA197" s="325" t="s">
        <v>430</v>
      </c>
      <c r="AB197" s="326" t="s">
        <v>78</v>
      </c>
      <c r="AC197" s="327"/>
      <c r="AD197" s="327"/>
      <c r="AE197" s="327"/>
      <c r="AF197" s="327"/>
      <c r="AG197" s="328" t="s">
        <v>472</v>
      </c>
      <c r="AH197" s="329">
        <v>15</v>
      </c>
      <c r="AI197" s="330">
        <v>3046.909090909091</v>
      </c>
      <c r="AJ197" s="330">
        <f t="shared" si="121"/>
        <v>45703.636363636368</v>
      </c>
      <c r="AK197" s="331"/>
      <c r="AL197" s="332">
        <v>2285.181818181818</v>
      </c>
      <c r="AM197" s="332">
        <v>4570.363636363636</v>
      </c>
      <c r="AN197" s="332">
        <v>36562.909090909088</v>
      </c>
      <c r="AO197" s="332">
        <v>2285.181818181818</v>
      </c>
      <c r="AP197" s="332"/>
      <c r="AQ197" s="333">
        <f t="shared" si="124"/>
        <v>7617.2727272727279</v>
      </c>
      <c r="AR197" s="333">
        <v>7617.2727272727279</v>
      </c>
      <c r="AS197" s="333">
        <v>7617.2727272727279</v>
      </c>
      <c r="AT197" s="333">
        <v>7617.2727272727279</v>
      </c>
      <c r="AU197" s="333">
        <v>7617.2727272727279</v>
      </c>
      <c r="AV197" s="333">
        <v>7617.2727272727279</v>
      </c>
      <c r="AW197" s="334">
        <f t="shared" si="122"/>
        <v>45703.636363636368</v>
      </c>
      <c r="AX197" s="334">
        <f t="shared" si="125"/>
        <v>45703.636363636368</v>
      </c>
      <c r="AY197" s="334">
        <f t="shared" si="123"/>
        <v>0</v>
      </c>
      <c r="AZ197" s="334">
        <f t="shared" si="126"/>
        <v>45703.636363636368</v>
      </c>
      <c r="BA197" s="335"/>
    </row>
    <row r="198" spans="24:53" ht="77.5">
      <c r="X198" s="323" t="s">
        <v>421</v>
      </c>
      <c r="Y198" s="324"/>
      <c r="Z198" s="323"/>
      <c r="AA198" s="325" t="s">
        <v>431</v>
      </c>
      <c r="AB198" s="326" t="s">
        <v>78</v>
      </c>
      <c r="AC198" s="327"/>
      <c r="AD198" s="327"/>
      <c r="AE198" s="327"/>
      <c r="AF198" s="327"/>
      <c r="AG198" s="328" t="s">
        <v>472</v>
      </c>
      <c r="AH198" s="329">
        <v>15</v>
      </c>
      <c r="AI198" s="330">
        <v>801.81818181818187</v>
      </c>
      <c r="AJ198" s="330">
        <f t="shared" si="121"/>
        <v>12027.272727272728</v>
      </c>
      <c r="AK198" s="331"/>
      <c r="AL198" s="332">
        <v>962.18181818181824</v>
      </c>
      <c r="AM198" s="332">
        <v>962.18181818181824</v>
      </c>
      <c r="AN198" s="332">
        <v>2886.5454545454545</v>
      </c>
      <c r="AO198" s="332">
        <v>1202.7272727272727</v>
      </c>
      <c r="AP198" s="332">
        <v>6013.636363636364</v>
      </c>
      <c r="AQ198" s="333">
        <f t="shared" si="124"/>
        <v>2004.5454545454547</v>
      </c>
      <c r="AR198" s="333">
        <v>2004.5454545454547</v>
      </c>
      <c r="AS198" s="333">
        <v>2004.5454545454547</v>
      </c>
      <c r="AT198" s="333">
        <v>2004.5454545454547</v>
      </c>
      <c r="AU198" s="333">
        <v>2004.5454545454547</v>
      </c>
      <c r="AV198" s="333">
        <v>2004.5454545454547</v>
      </c>
      <c r="AW198" s="334">
        <f t="shared" si="122"/>
        <v>12027.272727272728</v>
      </c>
      <c r="AX198" s="334">
        <f t="shared" si="125"/>
        <v>12027.272727272728</v>
      </c>
      <c r="AY198" s="334">
        <f t="shared" si="123"/>
        <v>0</v>
      </c>
      <c r="AZ198" s="334">
        <f t="shared" si="126"/>
        <v>12027.272727272728</v>
      </c>
      <c r="BA198" s="335"/>
    </row>
    <row r="199" spans="24:53" ht="77.5">
      <c r="X199" s="323" t="s">
        <v>421</v>
      </c>
      <c r="Y199" s="324"/>
      <c r="Z199" s="323"/>
      <c r="AA199" s="325" t="s">
        <v>432</v>
      </c>
      <c r="AB199" s="326" t="s">
        <v>78</v>
      </c>
      <c r="AC199" s="327"/>
      <c r="AD199" s="327"/>
      <c r="AE199" s="327"/>
      <c r="AF199" s="327"/>
      <c r="AG199" s="328" t="s">
        <v>472</v>
      </c>
      <c r="AH199" s="329">
        <v>15</v>
      </c>
      <c r="AI199" s="330">
        <v>781.77272727272725</v>
      </c>
      <c r="AJ199" s="330">
        <f t="shared" si="121"/>
        <v>11726.590909090908</v>
      </c>
      <c r="AK199" s="331"/>
      <c r="AL199" s="332">
        <v>938.12727272727284</v>
      </c>
      <c r="AM199" s="332">
        <v>938.12727272727284</v>
      </c>
      <c r="AN199" s="332">
        <v>2814.3818181818183</v>
      </c>
      <c r="AO199" s="332">
        <v>1172.659090909091</v>
      </c>
      <c r="AP199" s="332">
        <v>5863.295454545455</v>
      </c>
      <c r="AQ199" s="333">
        <f t="shared" si="124"/>
        <v>1954.431818181818</v>
      </c>
      <c r="AR199" s="333">
        <v>1954.431818181818</v>
      </c>
      <c r="AS199" s="333">
        <v>1954.431818181818</v>
      </c>
      <c r="AT199" s="333">
        <v>1954.431818181818</v>
      </c>
      <c r="AU199" s="333">
        <v>1954.431818181818</v>
      </c>
      <c r="AV199" s="333">
        <v>1954.431818181818</v>
      </c>
      <c r="AW199" s="334">
        <f t="shared" si="122"/>
        <v>11726.590909090908</v>
      </c>
      <c r="AX199" s="334">
        <f t="shared" si="125"/>
        <v>11726.590909090908</v>
      </c>
      <c r="AY199" s="334">
        <f t="shared" si="123"/>
        <v>0</v>
      </c>
      <c r="AZ199" s="334">
        <f t="shared" si="126"/>
        <v>11726.590909090908</v>
      </c>
      <c r="BA199" s="335"/>
    </row>
    <row r="200" spans="24:53" ht="77.5">
      <c r="X200" s="323" t="s">
        <v>421</v>
      </c>
      <c r="Y200" s="324"/>
      <c r="Z200" s="323"/>
      <c r="AA200" s="325" t="s">
        <v>433</v>
      </c>
      <c r="AB200" s="325" t="s">
        <v>78</v>
      </c>
      <c r="AC200" s="327"/>
      <c r="AD200" s="327"/>
      <c r="AE200" s="327"/>
      <c r="AF200" s="327"/>
      <c r="AG200" s="328" t="s">
        <v>472</v>
      </c>
      <c r="AH200" s="329">
        <v>15</v>
      </c>
      <c r="AI200" s="330">
        <v>1454.5454545454545</v>
      </c>
      <c r="AJ200" s="330">
        <f t="shared" si="121"/>
        <v>21818.181818181816</v>
      </c>
      <c r="AK200" s="331"/>
      <c r="AL200" s="332">
        <v>3490.9090909090914</v>
      </c>
      <c r="AM200" s="332">
        <v>3490.9090909090914</v>
      </c>
      <c r="AN200" s="332">
        <v>10472.727272727274</v>
      </c>
      <c r="AO200" s="332">
        <v>4363.636363636364</v>
      </c>
      <c r="AP200" s="332">
        <v>0</v>
      </c>
      <c r="AQ200" s="333">
        <f t="shared" si="124"/>
        <v>3636.363636363636</v>
      </c>
      <c r="AR200" s="333">
        <v>3636.363636363636</v>
      </c>
      <c r="AS200" s="333">
        <v>3636.363636363636</v>
      </c>
      <c r="AT200" s="333">
        <v>3636.363636363636</v>
      </c>
      <c r="AU200" s="333">
        <v>3636.363636363636</v>
      </c>
      <c r="AV200" s="333">
        <v>3636.363636363636</v>
      </c>
      <c r="AW200" s="334">
        <f t="shared" si="122"/>
        <v>21818.181818181816</v>
      </c>
      <c r="AX200" s="334">
        <f t="shared" si="125"/>
        <v>21818.181818181816</v>
      </c>
      <c r="AY200" s="334">
        <f t="shared" si="123"/>
        <v>0</v>
      </c>
      <c r="AZ200" s="334">
        <f t="shared" si="126"/>
        <v>21818.181818181816</v>
      </c>
      <c r="BA200" s="335"/>
    </row>
    <row r="201" spans="24:53" ht="77.5">
      <c r="X201" s="323" t="s">
        <v>421</v>
      </c>
      <c r="Y201" s="324"/>
      <c r="Z201" s="323"/>
      <c r="AA201" s="337" t="s">
        <v>434</v>
      </c>
      <c r="AB201" s="325" t="s">
        <v>78</v>
      </c>
      <c r="AC201" s="327"/>
      <c r="AD201" s="327"/>
      <c r="AE201" s="327"/>
      <c r="AF201" s="327"/>
      <c r="AG201" s="328" t="s">
        <v>472</v>
      </c>
      <c r="AH201" s="329">
        <v>15</v>
      </c>
      <c r="AI201" s="330">
        <v>1545.4545454545455</v>
      </c>
      <c r="AJ201" s="330">
        <f t="shared" si="121"/>
        <v>23181.818181818184</v>
      </c>
      <c r="AK201" s="331"/>
      <c r="AL201" s="332">
        <v>3477.272727272727</v>
      </c>
      <c r="AM201" s="332">
        <v>3477.272727272727</v>
      </c>
      <c r="AN201" s="332">
        <v>11590.90909090909</v>
      </c>
      <c r="AO201" s="332">
        <v>4636.363636363636</v>
      </c>
      <c r="AP201" s="332">
        <v>0</v>
      </c>
      <c r="AQ201" s="333">
        <f t="shared" si="124"/>
        <v>3863.636363636364</v>
      </c>
      <c r="AR201" s="333">
        <v>3863.636363636364</v>
      </c>
      <c r="AS201" s="333">
        <v>3863.636363636364</v>
      </c>
      <c r="AT201" s="333">
        <v>3863.636363636364</v>
      </c>
      <c r="AU201" s="333">
        <v>3863.636363636364</v>
      </c>
      <c r="AV201" s="333">
        <v>3863.636363636364</v>
      </c>
      <c r="AW201" s="334">
        <f t="shared" si="122"/>
        <v>23181.818181818184</v>
      </c>
      <c r="AX201" s="334">
        <f t="shared" si="125"/>
        <v>23181.818181818184</v>
      </c>
      <c r="AY201" s="334">
        <f t="shared" si="123"/>
        <v>0</v>
      </c>
      <c r="AZ201" s="334">
        <f t="shared" si="126"/>
        <v>23181.818181818184</v>
      </c>
      <c r="BA201" s="335"/>
    </row>
    <row r="202" spans="24:53" ht="46.5">
      <c r="X202" s="323" t="s">
        <v>421</v>
      </c>
      <c r="Y202" s="324"/>
      <c r="Z202" s="323"/>
      <c r="AA202" s="326" t="s">
        <v>435</v>
      </c>
      <c r="AB202" s="326" t="s">
        <v>78</v>
      </c>
      <c r="AC202" s="327"/>
      <c r="AD202" s="327"/>
      <c r="AE202" s="327"/>
      <c r="AF202" s="327"/>
      <c r="AG202" s="328" t="s">
        <v>472</v>
      </c>
      <c r="AH202" s="329">
        <v>15</v>
      </c>
      <c r="AI202" s="330">
        <v>1050</v>
      </c>
      <c r="AJ202" s="330">
        <f t="shared" si="121"/>
        <v>15750</v>
      </c>
      <c r="AK202" s="331"/>
      <c r="AL202" s="332">
        <v>1260</v>
      </c>
      <c r="AM202" s="332">
        <v>1260</v>
      </c>
      <c r="AN202" s="332">
        <v>3780</v>
      </c>
      <c r="AO202" s="332">
        <v>1575</v>
      </c>
      <c r="AP202" s="332">
        <v>7875</v>
      </c>
      <c r="AQ202" s="333">
        <f t="shared" si="124"/>
        <v>2625</v>
      </c>
      <c r="AR202" s="333">
        <v>2625</v>
      </c>
      <c r="AS202" s="333">
        <v>2625</v>
      </c>
      <c r="AT202" s="333">
        <v>2625</v>
      </c>
      <c r="AU202" s="333">
        <v>2625</v>
      </c>
      <c r="AV202" s="333">
        <v>2625</v>
      </c>
      <c r="AW202" s="334">
        <f t="shared" si="122"/>
        <v>15750</v>
      </c>
      <c r="AX202" s="334">
        <f t="shared" si="125"/>
        <v>15750</v>
      </c>
      <c r="AY202" s="334">
        <f t="shared" si="123"/>
        <v>0</v>
      </c>
      <c r="AZ202" s="334">
        <f t="shared" si="126"/>
        <v>15750</v>
      </c>
      <c r="BA202" s="335"/>
    </row>
    <row r="203" spans="24:53" ht="31">
      <c r="X203" s="323" t="s">
        <v>421</v>
      </c>
      <c r="Y203" s="324"/>
      <c r="Z203" s="323"/>
      <c r="AA203" s="326" t="s">
        <v>436</v>
      </c>
      <c r="AB203" s="326" t="s">
        <v>78</v>
      </c>
      <c r="AC203" s="327"/>
      <c r="AD203" s="327"/>
      <c r="AE203" s="327"/>
      <c r="AF203" s="327"/>
      <c r="AG203" s="328" t="s">
        <v>472</v>
      </c>
      <c r="AH203" s="329">
        <v>15</v>
      </c>
      <c r="AI203" s="330">
        <v>1050</v>
      </c>
      <c r="AJ203" s="330">
        <f t="shared" si="121"/>
        <v>15750</v>
      </c>
      <c r="AK203" s="331"/>
      <c r="AL203" s="332">
        <v>7875</v>
      </c>
      <c r="AM203" s="332">
        <v>1575</v>
      </c>
      <c r="AN203" s="332">
        <v>3150</v>
      </c>
      <c r="AO203" s="332">
        <v>787.5</v>
      </c>
      <c r="AP203" s="332">
        <v>2362.5</v>
      </c>
      <c r="AQ203" s="333">
        <f t="shared" si="124"/>
        <v>2625</v>
      </c>
      <c r="AR203" s="333">
        <v>2625</v>
      </c>
      <c r="AS203" s="333">
        <v>2625</v>
      </c>
      <c r="AT203" s="333">
        <v>2625</v>
      </c>
      <c r="AU203" s="333">
        <v>2625</v>
      </c>
      <c r="AV203" s="333">
        <v>2625</v>
      </c>
      <c r="AW203" s="334">
        <f t="shared" si="122"/>
        <v>15750</v>
      </c>
      <c r="AX203" s="334">
        <f t="shared" si="125"/>
        <v>15750</v>
      </c>
      <c r="AY203" s="334">
        <f t="shared" si="123"/>
        <v>0</v>
      </c>
      <c r="AZ203" s="334">
        <f t="shared" si="126"/>
        <v>15750</v>
      </c>
      <c r="BA203" s="335"/>
    </row>
    <row r="204" spans="24:53" ht="62">
      <c r="X204" s="316"/>
      <c r="Y204" s="317"/>
      <c r="Z204" s="316"/>
      <c r="AA204" s="316" t="s">
        <v>473</v>
      </c>
      <c r="AB204" s="316"/>
      <c r="AC204" s="316"/>
      <c r="AD204" s="316"/>
      <c r="AE204" s="316"/>
      <c r="AF204" s="316"/>
      <c r="AG204" s="318"/>
      <c r="AH204" s="319"/>
      <c r="AI204" s="320"/>
      <c r="AJ204" s="320">
        <f>AJ206+AJ230+AJ244+AJ295</f>
        <v>0</v>
      </c>
      <c r="AK204" s="321"/>
      <c r="AL204" s="320">
        <f t="shared" ref="AL204:BA204" si="127">AL206+AL230+AL244+AL295</f>
        <v>0</v>
      </c>
      <c r="AM204" s="320">
        <f t="shared" si="127"/>
        <v>0</v>
      </c>
      <c r="AN204" s="320">
        <f t="shared" si="127"/>
        <v>0</v>
      </c>
      <c r="AO204" s="320">
        <f t="shared" si="127"/>
        <v>0</v>
      </c>
      <c r="AP204" s="320">
        <f t="shared" si="127"/>
        <v>0</v>
      </c>
      <c r="AQ204" s="320">
        <f t="shared" si="127"/>
        <v>0</v>
      </c>
      <c r="AR204" s="320">
        <f t="shared" si="127"/>
        <v>0</v>
      </c>
      <c r="AS204" s="320">
        <f t="shared" si="127"/>
        <v>0</v>
      </c>
      <c r="AT204" s="320">
        <f t="shared" si="127"/>
        <v>0</v>
      </c>
      <c r="AU204" s="320">
        <f t="shared" si="127"/>
        <v>0</v>
      </c>
      <c r="AV204" s="320">
        <f t="shared" si="127"/>
        <v>0</v>
      </c>
      <c r="AW204" s="320">
        <f t="shared" si="127"/>
        <v>0</v>
      </c>
      <c r="AX204" s="320">
        <f t="shared" si="127"/>
        <v>0</v>
      </c>
      <c r="AY204" s="320">
        <f t="shared" si="127"/>
        <v>0</v>
      </c>
      <c r="AZ204" s="320">
        <f t="shared" si="127"/>
        <v>0</v>
      </c>
      <c r="BA204" s="322">
        <f t="shared" si="127"/>
        <v>0</v>
      </c>
    </row>
  </sheetData>
  <sheetProtection algorithmName="SHA-512" hashValue="+PjZ8A/bCfT2tVz8br8rm3PbO5I6k227XQsu/zoQbSccQTsKrIaQInfzEAa7hJAnbFif/yLNODwyBh2OIQLhcg==" saltValue="pdcor7J/ctn0MeNSzmmzMw==" spinCount="100000" sheet="1" formatCells="0" formatColumns="0" formatRows="0" insertRows="0" deleteRows="0" selectLockedCells="1" sort="0"/>
  <mergeCells count="57">
    <mergeCell ref="R32:R42"/>
    <mergeCell ref="R8:R28"/>
    <mergeCell ref="Q8:Q16"/>
    <mergeCell ref="A37:A40"/>
    <mergeCell ref="R3:R4"/>
    <mergeCell ref="S3:T3"/>
    <mergeCell ref="A8:A17"/>
    <mergeCell ref="B3:B4"/>
    <mergeCell ref="D3:D4"/>
    <mergeCell ref="N3:N4"/>
    <mergeCell ref="O3:O4"/>
    <mergeCell ref="P3:P4"/>
    <mergeCell ref="Q3:Q4"/>
    <mergeCell ref="A130:A142"/>
    <mergeCell ref="E180:H180"/>
    <mergeCell ref="A97:A100"/>
    <mergeCell ref="A101:A106"/>
    <mergeCell ref="A53:A59"/>
    <mergeCell ref="A69:A73"/>
    <mergeCell ref="A74:A79"/>
    <mergeCell ref="A90:A94"/>
    <mergeCell ref="A108:A118"/>
    <mergeCell ref="A120:A127"/>
    <mergeCell ref="A60:A67"/>
    <mergeCell ref="A80:A84"/>
    <mergeCell ref="A86:A89"/>
    <mergeCell ref="A46:A52"/>
    <mergeCell ref="A26:A29"/>
    <mergeCell ref="A41:A43"/>
    <mergeCell ref="Q19:Q28"/>
    <mergeCell ref="Q32:Q34"/>
    <mergeCell ref="Q37:Q42"/>
    <mergeCell ref="A21:A25"/>
    <mergeCell ref="A32:A35"/>
    <mergeCell ref="A19:A20"/>
    <mergeCell ref="AC185:AF185"/>
    <mergeCell ref="Q46:Q66"/>
    <mergeCell ref="Q69:Q83"/>
    <mergeCell ref="Q86:Q93"/>
    <mergeCell ref="R46:R93"/>
    <mergeCell ref="Q97:Q105"/>
    <mergeCell ref="R97:R126"/>
    <mergeCell ref="Q108:Q117"/>
    <mergeCell ref="Q120:Q126"/>
    <mergeCell ref="X185:X186"/>
    <mergeCell ref="Y185:Y186"/>
    <mergeCell ref="Z185:Z186"/>
    <mergeCell ref="AA185:AA186"/>
    <mergeCell ref="AB185:AB186"/>
    <mergeCell ref="AQ185:AW185"/>
    <mergeCell ref="AX185:AZ185"/>
    <mergeCell ref="BA185:BA186"/>
    <mergeCell ref="AG185:AG186"/>
    <mergeCell ref="AH185:AH186"/>
    <mergeCell ref="AI185:AI186"/>
    <mergeCell ref="AJ185:AJ186"/>
    <mergeCell ref="AL185:AP185"/>
  </mergeCells>
  <conditionalFormatting sqref="D8:D15">
    <cfRule type="cellIs" priority="20" operator="greaterThan">
      <formula>0</formula>
    </cfRule>
  </conditionalFormatting>
  <conditionalFormatting sqref="D19">
    <cfRule type="cellIs" priority="12" operator="greaterThan">
      <formula>0</formula>
    </cfRule>
  </conditionalFormatting>
  <conditionalFormatting sqref="D21:D22">
    <cfRule type="cellIs" priority="13" operator="greaterThan">
      <formula>0</formula>
    </cfRule>
  </conditionalFormatting>
  <conditionalFormatting sqref="D26:D27">
    <cfRule type="cellIs" priority="11" operator="greaterThan">
      <formula>0</formula>
    </cfRule>
  </conditionalFormatting>
  <conditionalFormatting sqref="D32">
    <cfRule type="cellIs" priority="19" operator="greaterThan">
      <formula>0</formula>
    </cfRule>
  </conditionalFormatting>
  <conditionalFormatting sqref="D37">
    <cfRule type="cellIs" priority="17" operator="greaterThan">
      <formula>0</formula>
    </cfRule>
  </conditionalFormatting>
  <conditionalFormatting sqref="D41">
    <cfRule type="cellIs" priority="10" operator="greaterThan">
      <formula>0</formula>
    </cfRule>
  </conditionalFormatting>
  <conditionalFormatting sqref="D46">
    <cfRule type="cellIs" priority="37" operator="greaterThan">
      <formula>0</formula>
    </cfRule>
  </conditionalFormatting>
  <conditionalFormatting sqref="D53">
    <cfRule type="cellIs" priority="36" operator="greaterThan">
      <formula>0</formula>
    </cfRule>
  </conditionalFormatting>
  <conditionalFormatting sqref="D60">
    <cfRule type="cellIs" priority="7" operator="greaterThan">
      <formula>0</formula>
    </cfRule>
  </conditionalFormatting>
  <conditionalFormatting sqref="D69:D70">
    <cfRule type="cellIs" priority="14" operator="greaterThan">
      <formula>0</formula>
    </cfRule>
  </conditionalFormatting>
  <conditionalFormatting sqref="D74:D76">
    <cfRule type="cellIs" priority="34" operator="greaterThan">
      <formula>0</formula>
    </cfRule>
  </conditionalFormatting>
  <conditionalFormatting sqref="D80:D81">
    <cfRule type="cellIs" priority="6" operator="greaterThan">
      <formula>0</formula>
    </cfRule>
  </conditionalFormatting>
  <conditionalFormatting sqref="D86:D87">
    <cfRule type="cellIs" priority="5" operator="greaterThan">
      <formula>0</formula>
    </cfRule>
  </conditionalFormatting>
  <conditionalFormatting sqref="D90:D91">
    <cfRule type="cellIs" priority="4" operator="greaterThan">
      <formula>0</formula>
    </cfRule>
  </conditionalFormatting>
  <conditionalFormatting sqref="D97">
    <cfRule type="cellIs" priority="47" operator="greaterThan">
      <formula>0</formula>
    </cfRule>
  </conditionalFormatting>
  <conditionalFormatting sqref="D101:D103">
    <cfRule type="cellIs" priority="25" operator="greaterThan">
      <formula>0</formula>
    </cfRule>
  </conditionalFormatting>
  <conditionalFormatting sqref="D108:D115">
    <cfRule type="cellIs" priority="3" operator="greaterThan">
      <formula>0</formula>
    </cfRule>
  </conditionalFormatting>
  <conditionalFormatting sqref="D120:D126">
    <cfRule type="cellIs" priority="1" operator="greaterThan">
      <formula>0</formula>
    </cfRule>
  </conditionalFormatting>
  <pageMargins left="0.75" right="0.75" top="1" bottom="1" header="0.5" footer="0.5"/>
  <pageSetup orientation="portrait" horizontalDpi="300" r:id="rId1"/>
  <ignoredErrors>
    <ignoredError sqref="P17 P35 P73 K17 K35 K73 K106 P20 K40 K52 K79 K20 K25 P52 P59 P79 P89 P100" formula="1"/>
    <ignoredError sqref="O142" unlocked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D8085-DF35-45B2-AA69-A6BB6128C149}">
  <sheetPr>
    <tabColor rgb="FFFFFFCC"/>
  </sheetPr>
  <dimension ref="A1:AZ189"/>
  <sheetViews>
    <sheetView zoomScaleNormal="100" workbookViewId="0">
      <pane xSplit="1" ySplit="4" topLeftCell="B113" activePane="bottomRight" state="frozen"/>
      <selection pane="topRight" activeCell="B1" sqref="B1"/>
      <selection pane="bottomLeft" activeCell="A5" sqref="A5"/>
      <selection pane="bottomRight" activeCell="A26" sqref="A26:A29"/>
    </sheetView>
  </sheetViews>
  <sheetFormatPr defaultColWidth="9.08984375" defaultRowHeight="14.5"/>
  <cols>
    <col min="1" max="1" width="42.26953125" style="5" customWidth="1"/>
    <col min="2" max="2" width="5.7265625" style="5" customWidth="1"/>
    <col min="3" max="3" width="79.08984375" style="5" customWidth="1"/>
    <col min="4" max="4" width="14.6328125" style="5" customWidth="1"/>
    <col min="5" max="8" width="5.08984375" style="6" customWidth="1"/>
    <col min="9" max="9" width="9.36328125" style="6" customWidth="1"/>
    <col min="10" max="10" width="12.08984375" style="7" customWidth="1"/>
    <col min="11" max="11" width="7.7265625" style="7" customWidth="1"/>
    <col min="12" max="12" width="15.7265625" style="5" customWidth="1"/>
    <col min="13" max="13" width="11" style="5" customWidth="1"/>
    <col min="14" max="14" width="12.90625" style="5" customWidth="1"/>
    <col min="15" max="15" width="17.7265625" style="5" customWidth="1"/>
    <col min="16" max="16" width="20.36328125" style="5" customWidth="1"/>
    <col min="17" max="17" width="19.08984375" style="5" customWidth="1"/>
    <col min="18" max="18" width="24.08984375" style="5" customWidth="1"/>
    <col min="19" max="19" width="16.90625" style="5" customWidth="1"/>
  </cols>
  <sheetData>
    <row r="1" spans="1:19" ht="21.5" thickBot="1">
      <c r="A1" s="188" t="s">
        <v>476</v>
      </c>
      <c r="B1" s="54"/>
      <c r="C1" s="1106"/>
      <c r="D1" s="1106"/>
      <c r="E1" s="55"/>
      <c r="F1" s="55"/>
      <c r="G1" s="55"/>
      <c r="H1" s="55"/>
      <c r="I1" s="55"/>
      <c r="J1" s="1107"/>
      <c r="K1" s="1107"/>
      <c r="L1" s="1106"/>
      <c r="M1" s="1106"/>
      <c r="N1" s="1106"/>
      <c r="O1" s="1106"/>
      <c r="P1" s="1106"/>
      <c r="Q1" s="1106"/>
      <c r="R1" s="1106"/>
      <c r="S1" s="1106"/>
    </row>
    <row r="2" spans="1:19" ht="21.5" thickBot="1">
      <c r="A2" s="1108"/>
      <c r="B2" s="145" t="s">
        <v>232</v>
      </c>
      <c r="C2" s="146"/>
      <c r="D2" s="146"/>
      <c r="E2" s="147"/>
      <c r="F2" s="147"/>
      <c r="G2" s="147"/>
      <c r="H2" s="147"/>
      <c r="I2" s="147"/>
      <c r="J2" s="146"/>
      <c r="K2" s="146"/>
      <c r="L2" s="146"/>
      <c r="M2" s="148"/>
      <c r="N2" s="149" t="s">
        <v>233</v>
      </c>
      <c r="O2" s="150"/>
      <c r="P2" s="150"/>
      <c r="Q2" s="150"/>
      <c r="R2" s="150"/>
      <c r="S2" s="151"/>
    </row>
    <row r="3" spans="1:19" ht="31">
      <c r="A3" s="245" t="s">
        <v>234</v>
      </c>
      <c r="B3" s="1324" t="s">
        <v>235</v>
      </c>
      <c r="C3" s="246" t="s">
        <v>236</v>
      </c>
      <c r="D3" s="1326" t="s">
        <v>237</v>
      </c>
      <c r="E3" s="143" t="s">
        <v>238</v>
      </c>
      <c r="F3" s="144"/>
      <c r="G3" s="144"/>
      <c r="H3" s="355"/>
      <c r="I3" s="144" t="s">
        <v>239</v>
      </c>
      <c r="J3" s="247"/>
      <c r="K3" s="138" t="s">
        <v>240</v>
      </c>
      <c r="L3" s="138" t="s">
        <v>241</v>
      </c>
      <c r="M3" s="1328" t="s">
        <v>242</v>
      </c>
      <c r="N3" s="1330" t="s">
        <v>243</v>
      </c>
      <c r="O3" s="1332" t="s">
        <v>244</v>
      </c>
      <c r="P3" s="1334" t="s">
        <v>245</v>
      </c>
      <c r="Q3" s="1306" t="s">
        <v>246</v>
      </c>
      <c r="R3" s="1308" t="s">
        <v>247</v>
      </c>
      <c r="S3" s="1309"/>
    </row>
    <row r="4" spans="1:19" ht="25.5" customHeight="1">
      <c r="A4" s="248"/>
      <c r="B4" s="1325"/>
      <c r="C4" s="249"/>
      <c r="D4" s="1327"/>
      <c r="E4" s="71" t="s">
        <v>248</v>
      </c>
      <c r="F4" s="72" t="s">
        <v>249</v>
      </c>
      <c r="G4" s="71" t="s">
        <v>250</v>
      </c>
      <c r="H4" s="72" t="s">
        <v>251</v>
      </c>
      <c r="I4" s="354" t="s">
        <v>477</v>
      </c>
      <c r="J4" s="122" t="s">
        <v>4</v>
      </c>
      <c r="K4" s="121" t="s">
        <v>254</v>
      </c>
      <c r="L4" s="73" t="s">
        <v>255</v>
      </c>
      <c r="M4" s="1329"/>
      <c r="N4" s="1331"/>
      <c r="O4" s="1333"/>
      <c r="P4" s="1335"/>
      <c r="Q4" s="1307"/>
      <c r="R4" s="496" t="s">
        <v>478</v>
      </c>
      <c r="S4" s="194" t="s">
        <v>257</v>
      </c>
    </row>
    <row r="5" spans="1:19" ht="35.25" customHeight="1">
      <c r="A5" s="309" t="s">
        <v>258</v>
      </c>
      <c r="B5" s="310"/>
      <c r="C5" s="310"/>
      <c r="D5" s="74"/>
      <c r="E5" s="74"/>
      <c r="F5" s="74"/>
      <c r="G5" s="74"/>
      <c r="H5" s="74"/>
      <c r="I5" s="75"/>
      <c r="J5" s="75">
        <f>J6+J30+J46+J94</f>
        <v>931851.34545454546</v>
      </c>
      <c r="K5" s="135"/>
      <c r="L5" s="76"/>
      <c r="M5" s="77"/>
      <c r="N5" s="78"/>
      <c r="O5" s="76"/>
      <c r="P5" s="76"/>
      <c r="Q5" s="79"/>
      <c r="R5" s="349">
        <f>R6+R30+R46+R94</f>
        <v>49973731</v>
      </c>
      <c r="S5" s="80">
        <f>S6+S30+S46+S94</f>
        <v>391413.95000000007</v>
      </c>
    </row>
    <row r="6" spans="1:19" ht="61.5" customHeight="1">
      <c r="A6" s="339" t="s">
        <v>114</v>
      </c>
      <c r="B6" s="340"/>
      <c r="C6" s="340"/>
      <c r="D6" s="340"/>
      <c r="E6" s="340"/>
      <c r="F6" s="340"/>
      <c r="G6" s="340"/>
      <c r="H6" s="341"/>
      <c r="I6" s="388"/>
      <c r="J6" s="386">
        <f>J7+J18</f>
        <v>219787.18181818182</v>
      </c>
      <c r="K6" s="342"/>
      <c r="L6" s="343"/>
      <c r="M6" s="344"/>
      <c r="N6" s="345"/>
      <c r="O6" s="346"/>
      <c r="P6" s="346"/>
      <c r="Q6" s="347"/>
      <c r="R6" s="350">
        <f>R7+R18</f>
        <v>2313702</v>
      </c>
      <c r="S6" s="348">
        <f>S7+S18</f>
        <v>18121.830000000002</v>
      </c>
    </row>
    <row r="7" spans="1:19" ht="30.75" customHeight="1">
      <c r="A7" s="360" t="s">
        <v>259</v>
      </c>
      <c r="B7" s="361"/>
      <c r="C7" s="361"/>
      <c r="D7" s="362"/>
      <c r="E7" s="363" t="s">
        <v>248</v>
      </c>
      <c r="F7" s="364" t="s">
        <v>249</v>
      </c>
      <c r="G7" s="364" t="s">
        <v>250</v>
      </c>
      <c r="H7" s="365" t="s">
        <v>251</v>
      </c>
      <c r="I7" s="384"/>
      <c r="J7" s="385">
        <f>J17</f>
        <v>54150.818181818191</v>
      </c>
      <c r="K7" s="366"/>
      <c r="L7" s="367"/>
      <c r="M7" s="368"/>
      <c r="N7" s="369"/>
      <c r="O7" s="370"/>
      <c r="P7" s="371"/>
      <c r="Q7" s="372"/>
      <c r="R7" s="373">
        <f>R17</f>
        <v>865757</v>
      </c>
      <c r="S7" s="374">
        <f>S17</f>
        <v>6780.9500000000007</v>
      </c>
    </row>
    <row r="8" spans="1:19" ht="31.5" customHeight="1">
      <c r="A8" s="1301" t="s">
        <v>260</v>
      </c>
      <c r="B8" s="168">
        <f>'AWPB Yr 2'!B126+1</f>
        <v>89</v>
      </c>
      <c r="C8" s="180" t="s">
        <v>261</v>
      </c>
      <c r="D8" s="180" t="s">
        <v>78</v>
      </c>
      <c r="E8" s="415"/>
      <c r="F8" s="416"/>
      <c r="G8" s="404"/>
      <c r="H8" s="405"/>
      <c r="I8" s="356">
        <v>1818.1818181818182</v>
      </c>
      <c r="J8" s="357">
        <f>I8*M8</f>
        <v>1818.1818181818182</v>
      </c>
      <c r="K8" s="182"/>
      <c r="L8" s="171" t="s">
        <v>479</v>
      </c>
      <c r="M8" s="172">
        <v>1</v>
      </c>
      <c r="N8" s="58">
        <v>0</v>
      </c>
      <c r="O8" s="108">
        <f t="shared" ref="O8:O15" si="0">IF(M8,MIN(1,N8/M8),"")</f>
        <v>0</v>
      </c>
      <c r="P8" s="1312"/>
      <c r="Q8" s="1314"/>
      <c r="R8" s="677">
        <v>0</v>
      </c>
      <c r="S8" s="676">
        <v>0</v>
      </c>
    </row>
    <row r="9" spans="1:19" ht="31.5" customHeight="1">
      <c r="A9" s="1302"/>
      <c r="B9" s="353">
        <f>B8+1</f>
        <v>90</v>
      </c>
      <c r="C9" s="181" t="s">
        <v>262</v>
      </c>
      <c r="D9" s="181" t="s">
        <v>480</v>
      </c>
      <c r="E9" s="410"/>
      <c r="F9" s="408"/>
      <c r="G9" s="408"/>
      <c r="H9" s="417"/>
      <c r="I9" s="356">
        <v>1363.6363636363637</v>
      </c>
      <c r="J9" s="357">
        <f t="shared" ref="J9:J16" si="1">I9*M9</f>
        <v>10909.09090909091</v>
      </c>
      <c r="K9" s="183"/>
      <c r="L9" s="171" t="s">
        <v>481</v>
      </c>
      <c r="M9" s="172">
        <v>8</v>
      </c>
      <c r="N9" s="58">
        <v>0</v>
      </c>
      <c r="O9" s="108">
        <f t="shared" si="0"/>
        <v>0</v>
      </c>
      <c r="P9" s="1313"/>
      <c r="Q9" s="1315"/>
      <c r="R9" s="677">
        <v>0</v>
      </c>
      <c r="S9" s="676">
        <v>0</v>
      </c>
    </row>
    <row r="10" spans="1:19" ht="31.5" customHeight="1">
      <c r="A10" s="1302"/>
      <c r="B10" s="353">
        <f t="shared" ref="B10:B16" si="2">B9+1</f>
        <v>91</v>
      </c>
      <c r="C10" s="181" t="s">
        <v>263</v>
      </c>
      <c r="D10" s="181" t="s">
        <v>480</v>
      </c>
      <c r="E10" s="418"/>
      <c r="F10" s="408"/>
      <c r="G10" s="408"/>
      <c r="H10" s="417"/>
      <c r="I10" s="356">
        <v>1363.6363636363637</v>
      </c>
      <c r="J10" s="357">
        <f t="shared" si="1"/>
        <v>5454.545454545455</v>
      </c>
      <c r="K10" s="183"/>
      <c r="L10" s="680" t="s">
        <v>418</v>
      </c>
      <c r="M10" s="172">
        <v>4</v>
      </c>
      <c r="N10" s="58">
        <v>0</v>
      </c>
      <c r="O10" s="108">
        <f t="shared" si="0"/>
        <v>0</v>
      </c>
      <c r="P10" s="1313"/>
      <c r="Q10" s="1315"/>
      <c r="R10" s="677">
        <v>0</v>
      </c>
      <c r="S10" s="676">
        <v>0</v>
      </c>
    </row>
    <row r="11" spans="1:19" ht="31.5" customHeight="1">
      <c r="A11" s="1302"/>
      <c r="B11" s="353">
        <f t="shared" si="2"/>
        <v>92</v>
      </c>
      <c r="C11" s="181" t="s">
        <v>264</v>
      </c>
      <c r="D11" s="181" t="s">
        <v>78</v>
      </c>
      <c r="E11" s="410"/>
      <c r="F11" s="408"/>
      <c r="G11" s="419"/>
      <c r="H11" s="412"/>
      <c r="I11" s="356">
        <v>2727.2727272727275</v>
      </c>
      <c r="J11" s="357">
        <f t="shared" si="1"/>
        <v>2727.2727272727275</v>
      </c>
      <c r="K11" s="183"/>
      <c r="L11" s="171" t="s">
        <v>482</v>
      </c>
      <c r="M11" s="172">
        <v>1</v>
      </c>
      <c r="N11" s="58">
        <v>0</v>
      </c>
      <c r="O11" s="108">
        <f t="shared" si="0"/>
        <v>0</v>
      </c>
      <c r="P11" s="1313"/>
      <c r="Q11" s="1315"/>
      <c r="R11" s="677">
        <v>0</v>
      </c>
      <c r="S11" s="676">
        <v>0</v>
      </c>
    </row>
    <row r="12" spans="1:19" ht="31.5" customHeight="1">
      <c r="A12" s="1302"/>
      <c r="B12" s="353">
        <f t="shared" si="2"/>
        <v>93</v>
      </c>
      <c r="C12" s="181" t="s">
        <v>265</v>
      </c>
      <c r="D12" s="181" t="s">
        <v>78</v>
      </c>
      <c r="E12" s="418"/>
      <c r="F12" s="408"/>
      <c r="G12" s="408"/>
      <c r="H12" s="412"/>
      <c r="I12" s="356">
        <v>1818.1818181818182</v>
      </c>
      <c r="J12" s="357">
        <f t="shared" si="1"/>
        <v>1818.1818181818182</v>
      </c>
      <c r="K12" s="183"/>
      <c r="L12" s="171" t="s">
        <v>483</v>
      </c>
      <c r="M12" s="172">
        <v>1</v>
      </c>
      <c r="N12" s="58">
        <v>0</v>
      </c>
      <c r="O12" s="108">
        <f t="shared" si="0"/>
        <v>0</v>
      </c>
      <c r="P12" s="1313"/>
      <c r="Q12" s="1315"/>
      <c r="R12" s="677">
        <v>0</v>
      </c>
      <c r="S12" s="676">
        <v>0</v>
      </c>
    </row>
    <row r="13" spans="1:19" ht="31.5" customHeight="1">
      <c r="A13" s="1302"/>
      <c r="B13" s="353">
        <f t="shared" si="2"/>
        <v>94</v>
      </c>
      <c r="C13" s="181" t="s">
        <v>266</v>
      </c>
      <c r="D13" s="181" t="s">
        <v>78</v>
      </c>
      <c r="E13" s="410"/>
      <c r="F13" s="408"/>
      <c r="G13" s="408"/>
      <c r="H13" s="417"/>
      <c r="I13" s="356">
        <v>454.54545454545456</v>
      </c>
      <c r="J13" s="357">
        <f t="shared" si="1"/>
        <v>4545.454545454546</v>
      </c>
      <c r="K13" s="183"/>
      <c r="L13" s="171" t="s">
        <v>481</v>
      </c>
      <c r="M13" s="172">
        <v>10</v>
      </c>
      <c r="N13" s="58">
        <v>3</v>
      </c>
      <c r="O13" s="108">
        <f t="shared" si="0"/>
        <v>0.3</v>
      </c>
      <c r="P13" s="1313"/>
      <c r="Q13" s="1315"/>
      <c r="R13" s="677">
        <v>139343</v>
      </c>
      <c r="S13" s="676">
        <v>1091.3900000000001</v>
      </c>
    </row>
    <row r="14" spans="1:19" ht="31.5" customHeight="1">
      <c r="A14" s="1302"/>
      <c r="B14" s="353">
        <f t="shared" si="2"/>
        <v>95</v>
      </c>
      <c r="C14" s="181" t="s">
        <v>267</v>
      </c>
      <c r="D14" s="181" t="s">
        <v>78</v>
      </c>
      <c r="E14" s="410"/>
      <c r="F14" s="408"/>
      <c r="G14" s="408"/>
      <c r="H14" s="412"/>
      <c r="I14" s="356">
        <v>15969</v>
      </c>
      <c r="J14" s="357">
        <f t="shared" si="1"/>
        <v>15969</v>
      </c>
      <c r="K14" s="183"/>
      <c r="L14" s="171" t="s">
        <v>484</v>
      </c>
      <c r="M14" s="172">
        <v>1</v>
      </c>
      <c r="N14" s="58">
        <v>0</v>
      </c>
      <c r="O14" s="108">
        <f t="shared" si="0"/>
        <v>0</v>
      </c>
      <c r="P14" s="1313"/>
      <c r="Q14" s="1315"/>
      <c r="R14" s="677">
        <v>0</v>
      </c>
      <c r="S14" s="676">
        <v>0</v>
      </c>
    </row>
    <row r="15" spans="1:19" ht="31.5" customHeight="1">
      <c r="A15" s="1302"/>
      <c r="B15" s="353">
        <f t="shared" si="2"/>
        <v>96</v>
      </c>
      <c r="C15" s="181" t="s">
        <v>268</v>
      </c>
      <c r="D15" s="181" t="s">
        <v>485</v>
      </c>
      <c r="E15" s="418"/>
      <c r="F15" s="408"/>
      <c r="G15" s="408"/>
      <c r="H15" s="412"/>
      <c r="I15" s="356">
        <v>1363.6363636363637</v>
      </c>
      <c r="J15" s="357">
        <f t="shared" si="1"/>
        <v>2727.2727272727275</v>
      </c>
      <c r="K15" s="183"/>
      <c r="L15" s="680" t="s">
        <v>486</v>
      </c>
      <c r="M15" s="172">
        <v>2</v>
      </c>
      <c r="N15" s="58">
        <v>2</v>
      </c>
      <c r="O15" s="108">
        <f t="shared" si="0"/>
        <v>1</v>
      </c>
      <c r="P15" s="1313"/>
      <c r="Q15" s="1315"/>
      <c r="R15" s="677">
        <v>298221</v>
      </c>
      <c r="S15" s="676">
        <v>2335.7800000000002</v>
      </c>
    </row>
    <row r="16" spans="1:19" ht="31.5" customHeight="1">
      <c r="A16" s="1310"/>
      <c r="B16" s="353">
        <f t="shared" si="2"/>
        <v>97</v>
      </c>
      <c r="C16" s="181" t="s">
        <v>269</v>
      </c>
      <c r="D16" s="181" t="s">
        <v>78</v>
      </c>
      <c r="E16" s="410"/>
      <c r="F16" s="408"/>
      <c r="G16" s="408"/>
      <c r="H16" s="417"/>
      <c r="I16" s="356">
        <v>681.81818181818187</v>
      </c>
      <c r="J16" s="357">
        <f t="shared" si="1"/>
        <v>8181.818181818182</v>
      </c>
      <c r="K16" s="183"/>
      <c r="L16" s="171" t="s">
        <v>487</v>
      </c>
      <c r="M16" s="172">
        <v>12</v>
      </c>
      <c r="N16" s="58">
        <v>12</v>
      </c>
      <c r="O16" s="108">
        <f t="shared" ref="O16" si="3">IF(M16,MIN(1,N16/M16),"")</f>
        <v>1</v>
      </c>
      <c r="P16" s="1313"/>
      <c r="Q16" s="1315"/>
      <c r="R16" s="677">
        <v>428193</v>
      </c>
      <c r="S16" s="676">
        <v>3353.78</v>
      </c>
    </row>
    <row r="17" spans="1:19">
      <c r="A17" s="1311"/>
      <c r="B17" s="65"/>
      <c r="C17" s="66"/>
      <c r="D17" s="189"/>
      <c r="E17" s="413"/>
      <c r="F17" s="413"/>
      <c r="G17" s="413"/>
      <c r="H17" s="414"/>
      <c r="I17" s="359"/>
      <c r="J17" s="358">
        <f>SUM(J8:J16)</f>
        <v>54150.818181818191</v>
      </c>
      <c r="K17" s="139"/>
      <c r="L17" s="111"/>
      <c r="M17" s="173">
        <f>SUM(M8:M16)</f>
        <v>40</v>
      </c>
      <c r="N17" s="68">
        <f>SUM(N8:N16)</f>
        <v>17</v>
      </c>
      <c r="O17" s="69">
        <f>IFERROR(AVERAGE(O8:O16),"")</f>
        <v>0.25555555555555554</v>
      </c>
      <c r="P17" s="380">
        <f>IFERROR(AVERAGE(O8:O16),"")</f>
        <v>0.25555555555555554</v>
      </c>
      <c r="Q17" s="1315"/>
      <c r="R17" s="678">
        <f>SUM(R8:R16)</f>
        <v>865757</v>
      </c>
      <c r="S17" s="70">
        <f>SUM(S8:S16)</f>
        <v>6780.9500000000007</v>
      </c>
    </row>
    <row r="18" spans="1:19" ht="30.75" customHeight="1">
      <c r="A18" s="360" t="s">
        <v>270</v>
      </c>
      <c r="B18" s="361"/>
      <c r="C18" s="361"/>
      <c r="D18" s="362"/>
      <c r="E18" s="363" t="s">
        <v>248</v>
      </c>
      <c r="F18" s="364" t="s">
        <v>249</v>
      </c>
      <c r="G18" s="364" t="s">
        <v>250</v>
      </c>
      <c r="H18" s="365" t="s">
        <v>251</v>
      </c>
      <c r="I18" s="384"/>
      <c r="J18" s="385">
        <f>J20+J25+J29</f>
        <v>165636.36363636365</v>
      </c>
      <c r="K18" s="366"/>
      <c r="L18" s="367"/>
      <c r="M18" s="368"/>
      <c r="N18" s="369"/>
      <c r="O18" s="370"/>
      <c r="P18" s="371"/>
      <c r="Q18" s="1315"/>
      <c r="R18" s="373">
        <f t="shared" ref="R18:S18" si="4">R20+R25+R29</f>
        <v>1447945</v>
      </c>
      <c r="S18" s="374">
        <f t="shared" si="4"/>
        <v>11340.880000000001</v>
      </c>
    </row>
    <row r="19" spans="1:19" ht="31.5" customHeight="1">
      <c r="A19" s="1317" t="s">
        <v>271</v>
      </c>
      <c r="B19" s="168">
        <f>B16+1</f>
        <v>98</v>
      </c>
      <c r="C19" s="180" t="s">
        <v>272</v>
      </c>
      <c r="D19" s="181" t="s">
        <v>78</v>
      </c>
      <c r="E19" s="402"/>
      <c r="F19" s="56"/>
      <c r="G19" s="56"/>
      <c r="H19" s="304"/>
      <c r="I19" s="356">
        <v>1000</v>
      </c>
      <c r="J19" s="691">
        <v>12000</v>
      </c>
      <c r="K19" s="182"/>
      <c r="L19" s="171" t="s">
        <v>488</v>
      </c>
      <c r="M19" s="172">
        <v>1</v>
      </c>
      <c r="N19" s="58">
        <v>0</v>
      </c>
      <c r="O19" s="376">
        <f>IF(M19,MIN(1,N19/M19),"")</f>
        <v>0</v>
      </c>
      <c r="P19" s="1318"/>
      <c r="Q19" s="1315"/>
      <c r="R19" s="677">
        <v>0</v>
      </c>
      <c r="S19" s="676">
        <v>0</v>
      </c>
    </row>
    <row r="20" spans="1:19">
      <c r="A20" s="1311"/>
      <c r="B20" s="65"/>
      <c r="C20" s="66"/>
      <c r="D20" s="189"/>
      <c r="E20" s="67"/>
      <c r="F20" s="67"/>
      <c r="G20" s="67"/>
      <c r="H20" s="66"/>
      <c r="I20" s="359"/>
      <c r="J20" s="358">
        <f>SUM(J19:J19)</f>
        <v>12000</v>
      </c>
      <c r="K20" s="139"/>
      <c r="L20" s="111"/>
      <c r="M20" s="173">
        <f>SUM(M19:M19)</f>
        <v>1</v>
      </c>
      <c r="N20" s="68">
        <f>SUM(N19:N19)</f>
        <v>0</v>
      </c>
      <c r="O20" s="377">
        <f>IFERROR(AVERAGE(O19:O19),"")</f>
        <v>0</v>
      </c>
      <c r="P20" s="1319"/>
      <c r="Q20" s="1315"/>
      <c r="R20" s="678">
        <f>SUM(R19:R19)</f>
        <v>0</v>
      </c>
      <c r="S20" s="70">
        <f>SUM(S19:S19)</f>
        <v>0</v>
      </c>
    </row>
    <row r="21" spans="1:19" ht="31.5" customHeight="1">
      <c r="A21" s="1321" t="s">
        <v>273</v>
      </c>
      <c r="B21" s="168">
        <f>B19+1</f>
        <v>99</v>
      </c>
      <c r="C21" s="180" t="s">
        <v>274</v>
      </c>
      <c r="D21" s="181" t="s">
        <v>78</v>
      </c>
      <c r="E21" s="403"/>
      <c r="F21" s="404"/>
      <c r="G21" s="404"/>
      <c r="H21" s="405"/>
      <c r="I21" s="356">
        <v>4545.454545454545</v>
      </c>
      <c r="J21" s="357">
        <f t="shared" ref="J21:J24" si="5">I21*M21</f>
        <v>4545.454545454545</v>
      </c>
      <c r="K21" s="182"/>
      <c r="L21" s="681" t="s">
        <v>488</v>
      </c>
      <c r="M21" s="174">
        <v>1</v>
      </c>
      <c r="N21" s="58">
        <v>0</v>
      </c>
      <c r="O21" s="108">
        <f t="shared" ref="O21:O24" si="6">IF(M21,MIN(1,N21/M21),"")</f>
        <v>0</v>
      </c>
      <c r="P21" s="1319"/>
      <c r="Q21" s="1315"/>
      <c r="R21" s="677">
        <v>0</v>
      </c>
      <c r="S21" s="676">
        <v>0</v>
      </c>
    </row>
    <row r="22" spans="1:19" ht="31.5" customHeight="1">
      <c r="A22" s="1322"/>
      <c r="B22" s="353">
        <f>B21+1</f>
        <v>100</v>
      </c>
      <c r="C22" s="181" t="s">
        <v>275</v>
      </c>
      <c r="D22" s="181" t="s">
        <v>78</v>
      </c>
      <c r="E22" s="406"/>
      <c r="F22" s="407"/>
      <c r="G22" s="408"/>
      <c r="H22" s="409"/>
      <c r="I22" s="356">
        <v>4545.454545454545</v>
      </c>
      <c r="J22" s="357">
        <f t="shared" si="5"/>
        <v>4545.454545454545</v>
      </c>
      <c r="K22" s="183"/>
      <c r="L22" s="171" t="s">
        <v>488</v>
      </c>
      <c r="M22" s="172">
        <v>1</v>
      </c>
      <c r="N22" s="58">
        <v>0</v>
      </c>
      <c r="O22" s="108">
        <f t="shared" si="6"/>
        <v>0</v>
      </c>
      <c r="P22" s="1319"/>
      <c r="Q22" s="1315"/>
      <c r="R22" s="677">
        <v>0</v>
      </c>
      <c r="S22" s="676">
        <v>0</v>
      </c>
    </row>
    <row r="23" spans="1:19" ht="31.5" customHeight="1">
      <c r="A23" s="1322"/>
      <c r="B23" s="353">
        <f t="shared" ref="B23:B24" si="7">B22+1</f>
        <v>101</v>
      </c>
      <c r="C23" s="181" t="s">
        <v>276</v>
      </c>
      <c r="D23" s="181" t="s">
        <v>485</v>
      </c>
      <c r="E23" s="410"/>
      <c r="F23" s="408"/>
      <c r="G23" s="411"/>
      <c r="H23" s="412"/>
      <c r="I23" s="356">
        <v>909.09090909090912</v>
      </c>
      <c r="J23" s="357">
        <f t="shared" si="5"/>
        <v>1818.1818181818182</v>
      </c>
      <c r="K23" s="183"/>
      <c r="L23" s="171" t="s">
        <v>489</v>
      </c>
      <c r="M23" s="172">
        <v>2</v>
      </c>
      <c r="N23" s="58">
        <v>1</v>
      </c>
      <c r="O23" s="108">
        <f t="shared" si="6"/>
        <v>0.5</v>
      </c>
      <c r="P23" s="1319"/>
      <c r="Q23" s="1315"/>
      <c r="R23" s="677">
        <v>100000</v>
      </c>
      <c r="S23" s="676">
        <v>783.24</v>
      </c>
    </row>
    <row r="24" spans="1:19" ht="31.5" customHeight="1">
      <c r="A24" s="1322"/>
      <c r="B24" s="353">
        <f t="shared" si="7"/>
        <v>102</v>
      </c>
      <c r="C24" s="181" t="s">
        <v>277</v>
      </c>
      <c r="D24" s="181" t="s">
        <v>490</v>
      </c>
      <c r="E24" s="410"/>
      <c r="F24" s="408"/>
      <c r="G24" s="411"/>
      <c r="H24" s="412"/>
      <c r="I24" s="356">
        <v>909.09090909090912</v>
      </c>
      <c r="J24" s="357">
        <f t="shared" si="5"/>
        <v>1818.1818181818182</v>
      </c>
      <c r="K24" s="184"/>
      <c r="L24" s="171" t="s">
        <v>489</v>
      </c>
      <c r="M24" s="172">
        <v>2</v>
      </c>
      <c r="N24" s="58">
        <v>2</v>
      </c>
      <c r="O24" s="108">
        <f t="shared" si="6"/>
        <v>1</v>
      </c>
      <c r="P24" s="1319"/>
      <c r="Q24" s="1315"/>
      <c r="R24" s="677">
        <v>200000</v>
      </c>
      <c r="S24" s="676">
        <v>1566.48</v>
      </c>
    </row>
    <row r="25" spans="1:19">
      <c r="A25" s="1323"/>
      <c r="B25" s="65"/>
      <c r="C25" s="66"/>
      <c r="D25" s="189"/>
      <c r="E25" s="413"/>
      <c r="F25" s="413"/>
      <c r="G25" s="413"/>
      <c r="H25" s="414"/>
      <c r="I25" s="359"/>
      <c r="J25" s="358">
        <f>SUM(J21:J24)</f>
        <v>12727.272727272726</v>
      </c>
      <c r="K25" s="139"/>
      <c r="L25" s="111"/>
      <c r="M25" s="173">
        <f>SUM(M21:M24)</f>
        <v>6</v>
      </c>
      <c r="N25" s="68">
        <f>SUM(N21:N24)</f>
        <v>3</v>
      </c>
      <c r="O25" s="377">
        <f>IFERROR(AVERAGE(O21:O24),"")</f>
        <v>0.375</v>
      </c>
      <c r="P25" s="1319"/>
      <c r="Q25" s="1315"/>
      <c r="R25" s="678">
        <f>SUM(R21:R24)</f>
        <v>300000</v>
      </c>
      <c r="S25" s="70">
        <f>SUM(S21:S24)</f>
        <v>2349.7200000000003</v>
      </c>
    </row>
    <row r="26" spans="1:19" ht="31.5" customHeight="1">
      <c r="A26" s="1321" t="s">
        <v>278</v>
      </c>
      <c r="B26" s="168">
        <f>B24+1</f>
        <v>103</v>
      </c>
      <c r="C26" s="180" t="s">
        <v>279</v>
      </c>
      <c r="D26" s="181" t="s">
        <v>78</v>
      </c>
      <c r="E26" s="410"/>
      <c r="F26" s="408"/>
      <c r="G26" s="408"/>
      <c r="H26" s="417"/>
      <c r="I26" s="356">
        <v>681.81818181818187</v>
      </c>
      <c r="J26" s="357">
        <f t="shared" ref="J26:J28" si="8">I26*M26</f>
        <v>10909.09090909091</v>
      </c>
      <c r="K26" s="182"/>
      <c r="L26" s="681" t="s">
        <v>488</v>
      </c>
      <c r="M26" s="174">
        <v>16</v>
      </c>
      <c r="N26" s="58">
        <v>17</v>
      </c>
      <c r="O26" s="108">
        <f t="shared" ref="O26:O27" si="9">IF(M26,MIN(1,N26/M26),"")</f>
        <v>1</v>
      </c>
      <c r="P26" s="1319"/>
      <c r="Q26" s="1315"/>
      <c r="R26" s="677">
        <v>1147945</v>
      </c>
      <c r="S26" s="676">
        <v>8991.16</v>
      </c>
    </row>
    <row r="27" spans="1:19" ht="31.5" customHeight="1">
      <c r="A27" s="1322"/>
      <c r="B27" s="353">
        <f>B26+1</f>
        <v>104</v>
      </c>
      <c r="C27" s="181" t="s">
        <v>280</v>
      </c>
      <c r="D27" s="181" t="s">
        <v>78</v>
      </c>
      <c r="E27" s="410"/>
      <c r="F27" s="408"/>
      <c r="G27" s="408"/>
      <c r="H27" s="417"/>
      <c r="I27" s="356">
        <v>15000</v>
      </c>
      <c r="J27" s="357">
        <f t="shared" si="8"/>
        <v>30000</v>
      </c>
      <c r="K27" s="183"/>
      <c r="L27" s="680" t="s">
        <v>491</v>
      </c>
      <c r="M27" s="172">
        <v>2</v>
      </c>
      <c r="N27" s="58">
        <v>0</v>
      </c>
      <c r="O27" s="108">
        <f t="shared" si="9"/>
        <v>0</v>
      </c>
      <c r="P27" s="1319"/>
      <c r="Q27" s="1315"/>
      <c r="R27" s="677">
        <v>0</v>
      </c>
      <c r="S27" s="676">
        <v>0</v>
      </c>
    </row>
    <row r="28" spans="1:19" ht="31.5" customHeight="1">
      <c r="A28" s="1322"/>
      <c r="B28" s="353">
        <f t="shared" ref="B28" si="10">B27+1</f>
        <v>105</v>
      </c>
      <c r="C28" s="181" t="s">
        <v>281</v>
      </c>
      <c r="D28" s="181" t="s">
        <v>78</v>
      </c>
      <c r="E28" s="410"/>
      <c r="F28" s="408"/>
      <c r="G28" s="408"/>
      <c r="H28" s="417"/>
      <c r="I28" s="356">
        <v>50000</v>
      </c>
      <c r="J28" s="357">
        <f t="shared" si="8"/>
        <v>100000</v>
      </c>
      <c r="K28" s="183"/>
      <c r="L28" s="680" t="s">
        <v>491</v>
      </c>
      <c r="M28" s="172">
        <v>2</v>
      </c>
      <c r="N28" s="58">
        <v>0</v>
      </c>
      <c r="O28" s="378">
        <f t="shared" ref="O28" si="11">IF(M28,MIN(1,N28/M28),"")</f>
        <v>0</v>
      </c>
      <c r="P28" s="1320"/>
      <c r="Q28" s="1316"/>
      <c r="R28" s="677">
        <v>0</v>
      </c>
      <c r="S28" s="676">
        <v>0</v>
      </c>
    </row>
    <row r="29" spans="1:19">
      <c r="A29" s="1323"/>
      <c r="B29" s="65"/>
      <c r="C29" s="66"/>
      <c r="D29" s="67"/>
      <c r="E29" s="67"/>
      <c r="F29" s="67"/>
      <c r="G29" s="67"/>
      <c r="H29" s="66"/>
      <c r="I29" s="359"/>
      <c r="J29" s="358">
        <f>SUM(J26:J28)</f>
        <v>140909.09090909091</v>
      </c>
      <c r="K29" s="139"/>
      <c r="L29" s="111"/>
      <c r="M29" s="173">
        <f>SUM(M26:M28)</f>
        <v>20</v>
      </c>
      <c r="N29" s="68">
        <f>SUM(N26:N28)</f>
        <v>17</v>
      </c>
      <c r="O29" s="69">
        <f>IFERROR(AVERAGE(O26:O28),"")</f>
        <v>0.33333333333333331</v>
      </c>
      <c r="P29" s="272">
        <f>IFERROR(AVERAGE(O19,O21:O24,O26:O28,O8:O16),"")</f>
        <v>0.28235294117647058</v>
      </c>
      <c r="Q29" s="272">
        <f>IFERROR(AVERAGE(O8:O16,O19,,O21:O24,O26:O28),"")</f>
        <v>0.26666666666666666</v>
      </c>
      <c r="R29" s="678">
        <f>SUM(R26:R28)</f>
        <v>1147945</v>
      </c>
      <c r="S29" s="70">
        <f>SUM(S26:S28)</f>
        <v>8991.16</v>
      </c>
    </row>
    <row r="30" spans="1:19" ht="55.5" customHeight="1">
      <c r="A30" s="339" t="s">
        <v>282</v>
      </c>
      <c r="B30" s="340"/>
      <c r="C30" s="340"/>
      <c r="D30" s="340"/>
      <c r="E30" s="340"/>
      <c r="F30" s="340"/>
      <c r="G30" s="340"/>
      <c r="H30" s="341"/>
      <c r="I30" s="388"/>
      <c r="J30" s="386">
        <f>J31+J36</f>
        <v>88681.818181818177</v>
      </c>
      <c r="K30" s="342"/>
      <c r="L30" s="343"/>
      <c r="M30" s="344"/>
      <c r="N30" s="668"/>
      <c r="O30" s="669"/>
      <c r="P30" s="669"/>
      <c r="Q30" s="670"/>
      <c r="R30" s="350">
        <f t="shared" ref="R30:S30" si="12">R31+R36</f>
        <v>4481524</v>
      </c>
      <c r="S30" s="348">
        <f t="shared" si="12"/>
        <v>35101.06</v>
      </c>
    </row>
    <row r="31" spans="1:19" ht="30.75" customHeight="1">
      <c r="A31" s="360" t="s">
        <v>283</v>
      </c>
      <c r="B31" s="361"/>
      <c r="C31" s="361"/>
      <c r="D31" s="362"/>
      <c r="E31" s="363" t="s">
        <v>248</v>
      </c>
      <c r="F31" s="364" t="s">
        <v>249</v>
      </c>
      <c r="G31" s="364" t="s">
        <v>250</v>
      </c>
      <c r="H31" s="365" t="s">
        <v>251</v>
      </c>
      <c r="I31" s="384"/>
      <c r="J31" s="385">
        <f>J35</f>
        <v>33000</v>
      </c>
      <c r="K31" s="366"/>
      <c r="L31" s="367"/>
      <c r="M31" s="368"/>
      <c r="N31" s="369"/>
      <c r="O31" s="370"/>
      <c r="P31" s="671"/>
      <c r="Q31" s="672"/>
      <c r="R31" s="373">
        <f t="shared" ref="R31:S31" si="13">R35</f>
        <v>3222890</v>
      </c>
      <c r="S31" s="374">
        <f t="shared" si="13"/>
        <v>25242.94</v>
      </c>
    </row>
    <row r="32" spans="1:19" ht="31.5" customHeight="1">
      <c r="A32" s="1301" t="s">
        <v>284</v>
      </c>
      <c r="B32" s="167">
        <f>B28+1</f>
        <v>106</v>
      </c>
      <c r="C32" s="180" t="s">
        <v>285</v>
      </c>
      <c r="D32" s="181" t="s">
        <v>78</v>
      </c>
      <c r="E32" s="61"/>
      <c r="F32" s="61"/>
      <c r="G32" s="61"/>
      <c r="H32" s="60"/>
      <c r="I32" s="356">
        <v>15000</v>
      </c>
      <c r="J32" s="357">
        <f t="shared" ref="J32:J34" si="14">I32*M32</f>
        <v>30000</v>
      </c>
      <c r="K32" s="182"/>
      <c r="L32" s="171" t="s">
        <v>492</v>
      </c>
      <c r="M32" s="175">
        <v>2</v>
      </c>
      <c r="N32" s="58">
        <v>2</v>
      </c>
      <c r="O32" s="108">
        <f t="shared" ref="O32:O34" si="15">IF(M32,MIN(1,N32/M32),"")</f>
        <v>1</v>
      </c>
      <c r="P32" s="1304"/>
      <c r="Q32" s="1304"/>
      <c r="R32" s="677">
        <v>3222890</v>
      </c>
      <c r="S32" s="676">
        <v>25242.94</v>
      </c>
    </row>
    <row r="33" spans="1:19" ht="31.5" customHeight="1">
      <c r="A33" s="1302"/>
      <c r="B33" s="167">
        <f>B32+1</f>
        <v>107</v>
      </c>
      <c r="C33" s="181" t="s">
        <v>286</v>
      </c>
      <c r="D33" s="181" t="s">
        <v>78</v>
      </c>
      <c r="E33" s="410"/>
      <c r="F33" s="408"/>
      <c r="G33" s="61"/>
      <c r="H33" s="60"/>
      <c r="I33" s="356"/>
      <c r="J33" s="357">
        <f t="shared" si="14"/>
        <v>0</v>
      </c>
      <c r="K33" s="183"/>
      <c r="L33" s="171"/>
      <c r="M33" s="172">
        <v>1</v>
      </c>
      <c r="N33" s="58">
        <v>0</v>
      </c>
      <c r="O33" s="108">
        <v>0</v>
      </c>
      <c r="P33" s="1305"/>
      <c r="Q33" s="1305"/>
      <c r="R33" s="677">
        <v>0</v>
      </c>
      <c r="S33" s="676">
        <v>0</v>
      </c>
    </row>
    <row r="34" spans="1:19" ht="31.5" customHeight="1">
      <c r="A34" s="1302"/>
      <c r="B34" s="167">
        <f t="shared" ref="B34" si="16">B33+1</f>
        <v>108</v>
      </c>
      <c r="C34" s="181" t="s">
        <v>287</v>
      </c>
      <c r="D34" s="181" t="s">
        <v>78</v>
      </c>
      <c r="E34" s="55"/>
      <c r="F34" s="408"/>
      <c r="G34" s="408"/>
      <c r="H34" s="417"/>
      <c r="I34" s="356">
        <v>3000</v>
      </c>
      <c r="J34" s="357">
        <f t="shared" si="14"/>
        <v>3000</v>
      </c>
      <c r="K34" s="183"/>
      <c r="L34" s="171" t="s">
        <v>484</v>
      </c>
      <c r="M34" s="172">
        <v>1</v>
      </c>
      <c r="N34" s="58">
        <v>0</v>
      </c>
      <c r="O34" s="108">
        <f t="shared" si="15"/>
        <v>0</v>
      </c>
      <c r="P34" s="1305"/>
      <c r="Q34" s="1305"/>
      <c r="R34" s="677">
        <v>0</v>
      </c>
      <c r="S34" s="676">
        <v>0</v>
      </c>
    </row>
    <row r="35" spans="1:19">
      <c r="A35" s="1303"/>
      <c r="B35" s="65"/>
      <c r="C35" s="81"/>
      <c r="D35" s="120"/>
      <c r="E35" s="67"/>
      <c r="F35" s="67"/>
      <c r="G35" s="67"/>
      <c r="H35" s="66"/>
      <c r="I35" s="359"/>
      <c r="J35" s="358">
        <f>SUM(J32:J34)</f>
        <v>33000</v>
      </c>
      <c r="K35" s="139"/>
      <c r="L35" s="111"/>
      <c r="M35" s="173">
        <f>SUM(M32:M34)</f>
        <v>4</v>
      </c>
      <c r="N35" s="68">
        <f>SUM(N32:N34)</f>
        <v>2</v>
      </c>
      <c r="O35" s="69">
        <f>IFERROR(AVERAGE(O32:O34),"")</f>
        <v>0.33333333333333331</v>
      </c>
      <c r="P35" s="379">
        <f>IFERROR(AVERAGE(O32:O34),"")</f>
        <v>0.33333333333333331</v>
      </c>
      <c r="Q35" s="1305"/>
      <c r="R35" s="678">
        <f t="shared" ref="R35:S35" si="17">SUM(R32:R34)</f>
        <v>3222890</v>
      </c>
      <c r="S35" s="70">
        <f t="shared" si="17"/>
        <v>25242.94</v>
      </c>
    </row>
    <row r="36" spans="1:19" ht="30.75" customHeight="1">
      <c r="A36" s="360" t="s">
        <v>288</v>
      </c>
      <c r="B36" s="361"/>
      <c r="C36" s="361"/>
      <c r="D36" s="362"/>
      <c r="E36" s="363" t="s">
        <v>248</v>
      </c>
      <c r="F36" s="364" t="s">
        <v>249</v>
      </c>
      <c r="G36" s="364" t="s">
        <v>250</v>
      </c>
      <c r="H36" s="365" t="s">
        <v>251</v>
      </c>
      <c r="I36" s="384"/>
      <c r="J36" s="385">
        <f>J41+J45</f>
        <v>55681.818181818184</v>
      </c>
      <c r="K36" s="366"/>
      <c r="L36" s="367"/>
      <c r="M36" s="368"/>
      <c r="N36" s="369"/>
      <c r="O36" s="370"/>
      <c r="P36" s="375"/>
      <c r="Q36" s="1305"/>
      <c r="R36" s="373">
        <f t="shared" ref="R36:S36" si="18">R41+R45</f>
        <v>1258634</v>
      </c>
      <c r="S36" s="374">
        <f t="shared" si="18"/>
        <v>9858.119999999999</v>
      </c>
    </row>
    <row r="37" spans="1:19" ht="31.5" customHeight="1">
      <c r="A37" s="1347" t="s">
        <v>289</v>
      </c>
      <c r="B37" s="167">
        <f>B34+1</f>
        <v>109</v>
      </c>
      <c r="C37" s="180" t="s">
        <v>290</v>
      </c>
      <c r="D37" s="181" t="s">
        <v>78</v>
      </c>
      <c r="E37" s="61"/>
      <c r="F37" s="61"/>
      <c r="G37" s="61"/>
      <c r="H37" s="60"/>
      <c r="I37" s="356"/>
      <c r="J37" s="357">
        <f t="shared" ref="J37:J40" si="19">I37*M37</f>
        <v>0</v>
      </c>
      <c r="K37" s="182"/>
      <c r="L37" s="171"/>
      <c r="M37" s="1125"/>
      <c r="N37" s="58"/>
      <c r="O37" s="109" t="str">
        <f t="shared" ref="O37:O40" si="20">IF(M37,MIN(1,N37/M37),"")</f>
        <v/>
      </c>
      <c r="P37" s="1339"/>
      <c r="Q37" s="1305"/>
      <c r="R37" s="677">
        <v>0</v>
      </c>
      <c r="S37" s="676">
        <v>0</v>
      </c>
    </row>
    <row r="38" spans="1:19" ht="31.5" customHeight="1">
      <c r="A38" s="1303"/>
      <c r="B38" s="167">
        <f>B37+1</f>
        <v>110</v>
      </c>
      <c r="C38" s="181" t="s">
        <v>291</v>
      </c>
      <c r="D38" s="181" t="s">
        <v>78</v>
      </c>
      <c r="E38" s="410"/>
      <c r="F38" s="408"/>
      <c r="G38" s="61"/>
      <c r="H38" s="60"/>
      <c r="I38" s="356">
        <v>17500</v>
      </c>
      <c r="J38" s="357">
        <f t="shared" si="19"/>
        <v>17500</v>
      </c>
      <c r="K38" s="183"/>
      <c r="L38" s="171" t="s">
        <v>492</v>
      </c>
      <c r="M38" s="1125">
        <v>1</v>
      </c>
      <c r="N38" s="58">
        <v>0</v>
      </c>
      <c r="O38" s="109">
        <f t="shared" si="20"/>
        <v>0</v>
      </c>
      <c r="P38" s="1364"/>
      <c r="Q38" s="1305"/>
      <c r="R38" s="677">
        <v>0</v>
      </c>
      <c r="S38" s="676">
        <v>0</v>
      </c>
    </row>
    <row r="39" spans="1:19" ht="31.5" customHeight="1">
      <c r="A39" s="1348"/>
      <c r="B39" s="167">
        <f t="shared" ref="B39:B40" si="21">B38+1</f>
        <v>111</v>
      </c>
      <c r="C39" s="181" t="s">
        <v>292</v>
      </c>
      <c r="D39" s="181" t="s">
        <v>78</v>
      </c>
      <c r="E39" s="410"/>
      <c r="F39" s="408"/>
      <c r="G39" s="408"/>
      <c r="H39" s="417"/>
      <c r="I39" s="356">
        <v>136.36363636363637</v>
      </c>
      <c r="J39" s="357">
        <f t="shared" si="19"/>
        <v>4772.727272727273</v>
      </c>
      <c r="K39" s="183"/>
      <c r="L39" s="171" t="s">
        <v>493</v>
      </c>
      <c r="M39" s="1125">
        <v>35</v>
      </c>
      <c r="N39" s="58">
        <v>35</v>
      </c>
      <c r="O39" s="109">
        <f t="shared" si="20"/>
        <v>1</v>
      </c>
      <c r="P39" s="1305"/>
      <c r="Q39" s="1305"/>
      <c r="R39" s="677">
        <v>332400</v>
      </c>
      <c r="S39" s="676">
        <v>2603.4899999999998</v>
      </c>
    </row>
    <row r="40" spans="1:19" ht="31.5" customHeight="1">
      <c r="A40" s="1348"/>
      <c r="B40" s="167">
        <f t="shared" si="21"/>
        <v>112</v>
      </c>
      <c r="C40" s="421" t="s">
        <v>494</v>
      </c>
      <c r="D40" s="181"/>
      <c r="E40" s="410"/>
      <c r="F40" s="408"/>
      <c r="G40" s="408"/>
      <c r="H40" s="417"/>
      <c r="I40" s="356"/>
      <c r="J40" s="357">
        <f t="shared" si="19"/>
        <v>0</v>
      </c>
      <c r="K40" s="184"/>
      <c r="L40" s="171" t="s">
        <v>495</v>
      </c>
      <c r="M40" s="1125"/>
      <c r="N40" s="58">
        <v>0</v>
      </c>
      <c r="O40" s="109" t="str">
        <f t="shared" si="20"/>
        <v/>
      </c>
      <c r="P40" s="1305"/>
      <c r="Q40" s="1305"/>
      <c r="R40" s="677">
        <v>0</v>
      </c>
      <c r="S40" s="676">
        <v>0</v>
      </c>
    </row>
    <row r="41" spans="1:19">
      <c r="A41" s="1348"/>
      <c r="B41" s="65"/>
      <c r="C41" s="81"/>
      <c r="D41" s="120"/>
      <c r="E41" s="67"/>
      <c r="F41" s="67"/>
      <c r="G41" s="67"/>
      <c r="H41" s="66"/>
      <c r="I41" s="359"/>
      <c r="J41" s="358">
        <f>SUM(J37:J40)</f>
        <v>22272.727272727272</v>
      </c>
      <c r="K41" s="139"/>
      <c r="L41" s="111"/>
      <c r="M41" s="173">
        <f>SUM(M37:M40)</f>
        <v>36</v>
      </c>
      <c r="N41" s="68">
        <f>SUM(N37:N40)</f>
        <v>35</v>
      </c>
      <c r="O41" s="69">
        <f>IFERROR(AVERAGE(O37:O40),"")</f>
        <v>0.5</v>
      </c>
      <c r="P41" s="1305"/>
      <c r="Q41" s="1305"/>
      <c r="R41" s="678">
        <f>SUM(R37:R40)</f>
        <v>332400</v>
      </c>
      <c r="S41" s="70">
        <f>SUM(S37:S40)</f>
        <v>2603.4899999999998</v>
      </c>
    </row>
    <row r="42" spans="1:19" ht="31.5" customHeight="1">
      <c r="A42" s="1347" t="s">
        <v>293</v>
      </c>
      <c r="B42" s="167">
        <f>B40+1</f>
        <v>113</v>
      </c>
      <c r="C42" s="180" t="s">
        <v>496</v>
      </c>
      <c r="D42" s="181" t="s">
        <v>480</v>
      </c>
      <c r="E42" s="61"/>
      <c r="F42" s="408"/>
      <c r="G42" s="408"/>
      <c r="H42" s="408"/>
      <c r="I42" s="356">
        <v>9090.9090909090901</v>
      </c>
      <c r="J42" s="357">
        <f t="shared" ref="J42:J44" si="22">I42*M42</f>
        <v>18181.81818181818</v>
      </c>
      <c r="K42" s="182"/>
      <c r="L42" s="171" t="s">
        <v>497</v>
      </c>
      <c r="M42" s="1125">
        <v>2</v>
      </c>
      <c r="N42" s="58">
        <v>0</v>
      </c>
      <c r="O42" s="109">
        <f t="shared" ref="O42:O44" si="23">IF(M42,MIN(1,N42/M42),"")</f>
        <v>0</v>
      </c>
      <c r="P42" s="1305"/>
      <c r="Q42" s="1305"/>
      <c r="R42" s="677">
        <v>0</v>
      </c>
      <c r="S42" s="676">
        <v>0</v>
      </c>
    </row>
    <row r="43" spans="1:19" ht="31.5" customHeight="1">
      <c r="A43" s="1303"/>
      <c r="B43" s="167">
        <f>B42+1</f>
        <v>114</v>
      </c>
      <c r="C43" s="181" t="s">
        <v>498</v>
      </c>
      <c r="D43" s="181" t="s">
        <v>499</v>
      </c>
      <c r="E43" s="408"/>
      <c r="F43" s="408"/>
      <c r="G43" s="408"/>
      <c r="H43" s="60"/>
      <c r="I43" s="356">
        <v>227.27272727272728</v>
      </c>
      <c r="J43" s="357">
        <f t="shared" si="22"/>
        <v>7954.545454545455</v>
      </c>
      <c r="K43" s="183"/>
      <c r="L43" s="171" t="s">
        <v>500</v>
      </c>
      <c r="M43" s="1125">
        <v>35</v>
      </c>
      <c r="N43" s="58">
        <v>24</v>
      </c>
      <c r="O43" s="109">
        <f t="shared" si="23"/>
        <v>0.68571428571428572</v>
      </c>
      <c r="P43" s="1305"/>
      <c r="Q43" s="1305"/>
      <c r="R43" s="677">
        <v>675000</v>
      </c>
      <c r="S43" s="676">
        <v>5286.87</v>
      </c>
    </row>
    <row r="44" spans="1:19" ht="31.5" customHeight="1">
      <c r="A44" s="1348"/>
      <c r="B44" s="167">
        <f>B43+1</f>
        <v>115</v>
      </c>
      <c r="C44" s="181" t="s">
        <v>501</v>
      </c>
      <c r="D44" s="181" t="s">
        <v>78</v>
      </c>
      <c r="E44" s="408"/>
      <c r="F44" s="408"/>
      <c r="G44" s="408"/>
      <c r="H44" s="408"/>
      <c r="I44" s="356">
        <v>606.06060606060635</v>
      </c>
      <c r="J44" s="357">
        <f t="shared" si="22"/>
        <v>7272.7272727272757</v>
      </c>
      <c r="K44" s="183"/>
      <c r="L44" s="171" t="s">
        <v>487</v>
      </c>
      <c r="M44" s="1125">
        <v>12</v>
      </c>
      <c r="N44" s="58">
        <v>12</v>
      </c>
      <c r="O44" s="109">
        <f t="shared" si="23"/>
        <v>1</v>
      </c>
      <c r="P44" s="1346"/>
      <c r="Q44" s="1305"/>
      <c r="R44" s="677">
        <v>251234</v>
      </c>
      <c r="S44" s="676">
        <v>1967.76</v>
      </c>
    </row>
    <row r="45" spans="1:19">
      <c r="A45" s="1348"/>
      <c r="B45" s="65"/>
      <c r="C45" s="81"/>
      <c r="D45" s="120"/>
      <c r="E45" s="67"/>
      <c r="F45" s="67"/>
      <c r="G45" s="67"/>
      <c r="H45" s="66"/>
      <c r="I45" s="359"/>
      <c r="J45" s="358">
        <f>SUM(J42:J44)</f>
        <v>33409.090909090912</v>
      </c>
      <c r="K45" s="139"/>
      <c r="L45" s="111"/>
      <c r="M45" s="173">
        <f>SUM(M42:M44)</f>
        <v>49</v>
      </c>
      <c r="N45" s="68">
        <f>SUM(N42:N44)</f>
        <v>36</v>
      </c>
      <c r="O45" s="69">
        <f>IFERROR(AVERAGE(O42:O44),"")</f>
        <v>0.56190476190476191</v>
      </c>
      <c r="P45" s="69">
        <f>IFERROR(AVERAGE(O37:O40,O42:O44),"")</f>
        <v>0.53714285714285714</v>
      </c>
      <c r="Q45" s="272">
        <f>IFERROR(AVERAGE(O32:O34,O37:O40,O42:O44),"")</f>
        <v>0.46071428571428574</v>
      </c>
      <c r="R45" s="678">
        <f>SUM(R42:R44)</f>
        <v>926234</v>
      </c>
      <c r="S45" s="70">
        <f>SUM(S42:S44)</f>
        <v>7254.63</v>
      </c>
    </row>
    <row r="46" spans="1:19" ht="96.75" customHeight="1">
      <c r="A46" s="339" t="s">
        <v>296</v>
      </c>
      <c r="B46" s="340"/>
      <c r="C46" s="340"/>
      <c r="D46" s="340"/>
      <c r="E46" s="340"/>
      <c r="F46" s="340"/>
      <c r="G46" s="340"/>
      <c r="H46" s="341"/>
      <c r="I46" s="388">
        <f>I47+I67+I84</f>
        <v>0</v>
      </c>
      <c r="J46" s="386">
        <f>J47+J67+J84</f>
        <v>533234.45454545447</v>
      </c>
      <c r="K46" s="342"/>
      <c r="L46" s="343"/>
      <c r="M46" s="344"/>
      <c r="N46" s="668"/>
      <c r="O46" s="669"/>
      <c r="P46" s="669"/>
      <c r="Q46" s="670"/>
      <c r="R46" s="350">
        <f>R47+R67+R84</f>
        <v>37373958</v>
      </c>
      <c r="S46" s="348">
        <f>S47+S67+S84</f>
        <v>292727.56000000006</v>
      </c>
    </row>
    <row r="47" spans="1:19" ht="30.75" customHeight="1">
      <c r="A47" s="360" t="s">
        <v>297</v>
      </c>
      <c r="B47" s="361"/>
      <c r="C47" s="361"/>
      <c r="D47" s="362"/>
      <c r="E47" s="363" t="s">
        <v>248</v>
      </c>
      <c r="F47" s="364" t="s">
        <v>249</v>
      </c>
      <c r="G47" s="364" t="s">
        <v>250</v>
      </c>
      <c r="H47" s="365" t="s">
        <v>251</v>
      </c>
      <c r="I47" s="384">
        <f>I54+I59+I66</f>
        <v>0</v>
      </c>
      <c r="J47" s="385">
        <f>J54+J59+J66</f>
        <v>310436.36363636365</v>
      </c>
      <c r="K47" s="366"/>
      <c r="L47" s="367"/>
      <c r="M47" s="368"/>
      <c r="N47" s="369"/>
      <c r="O47" s="370"/>
      <c r="P47" s="671"/>
      <c r="Q47" s="672"/>
      <c r="R47" s="373">
        <f>R54+R59+R66</f>
        <v>20465121</v>
      </c>
      <c r="S47" s="374">
        <f>S54+S59+S66</f>
        <v>160290.9</v>
      </c>
    </row>
    <row r="48" spans="1:19" ht="31.5" hidden="1" customHeight="1">
      <c r="A48" s="1301" t="s">
        <v>298</v>
      </c>
      <c r="B48" s="167"/>
      <c r="C48" s="169" t="s">
        <v>299</v>
      </c>
      <c r="D48" s="176"/>
      <c r="E48" s="55"/>
      <c r="F48" s="61"/>
      <c r="G48" s="61"/>
      <c r="H48" s="60"/>
      <c r="I48" s="356"/>
      <c r="J48" s="357">
        <f t="shared" ref="J48:J53" si="24">I48*M48</f>
        <v>0</v>
      </c>
      <c r="K48" s="182"/>
      <c r="L48" s="179" t="s">
        <v>502</v>
      </c>
      <c r="M48" s="175"/>
      <c r="N48" s="58"/>
      <c r="O48" s="109" t="str">
        <f t="shared" ref="O48:O53" si="25">IF(M48,MIN(1,N48/M48),"")</f>
        <v/>
      </c>
      <c r="P48" s="1336"/>
      <c r="Q48" s="1304"/>
      <c r="R48" s="165"/>
      <c r="S48" s="260"/>
    </row>
    <row r="49" spans="1:19" ht="36.75" hidden="1" customHeight="1">
      <c r="A49" s="1322"/>
      <c r="B49" s="167"/>
      <c r="C49" s="170" t="s">
        <v>300</v>
      </c>
      <c r="D49" s="177"/>
      <c r="E49" s="61"/>
      <c r="F49" s="61"/>
      <c r="G49" s="61"/>
      <c r="H49" s="60"/>
      <c r="I49" s="356"/>
      <c r="J49" s="357">
        <f t="shared" si="24"/>
        <v>0</v>
      </c>
      <c r="K49" s="183"/>
      <c r="L49" s="171" t="s">
        <v>488</v>
      </c>
      <c r="M49" s="172"/>
      <c r="N49" s="58"/>
      <c r="O49" s="109" t="str">
        <f t="shared" si="25"/>
        <v/>
      </c>
      <c r="P49" s="1337"/>
      <c r="Q49" s="1305"/>
      <c r="R49" s="165"/>
      <c r="S49" s="257"/>
    </row>
    <row r="50" spans="1:19" ht="31.5" customHeight="1">
      <c r="A50" s="1322"/>
      <c r="B50" s="167">
        <v>116</v>
      </c>
      <c r="C50" s="170" t="s">
        <v>301</v>
      </c>
      <c r="D50" s="177" t="s">
        <v>503</v>
      </c>
      <c r="E50" s="408"/>
      <c r="F50" s="408"/>
      <c r="G50" s="408"/>
      <c r="H50" s="408"/>
      <c r="I50" s="356">
        <v>14500</v>
      </c>
      <c r="J50" s="357">
        <f t="shared" si="24"/>
        <v>14500</v>
      </c>
      <c r="K50" s="183"/>
      <c r="L50" s="680" t="s">
        <v>504</v>
      </c>
      <c r="M50" s="172">
        <v>1</v>
      </c>
      <c r="N50" s="58">
        <v>0</v>
      </c>
      <c r="O50" s="109">
        <f t="shared" si="25"/>
        <v>0</v>
      </c>
      <c r="P50" s="1337"/>
      <c r="Q50" s="1305"/>
      <c r="R50" s="677">
        <v>0</v>
      </c>
      <c r="S50" s="676">
        <v>0</v>
      </c>
    </row>
    <row r="51" spans="1:19" ht="31.5" customHeight="1">
      <c r="A51" s="1322"/>
      <c r="B51" s="167">
        <f t="shared" ref="B51:B53" si="26">B50+1</f>
        <v>117</v>
      </c>
      <c r="C51" s="170" t="s">
        <v>302</v>
      </c>
      <c r="D51" s="177" t="s">
        <v>503</v>
      </c>
      <c r="E51" s="408"/>
      <c r="F51" s="408"/>
      <c r="G51" s="61"/>
      <c r="H51" s="60"/>
      <c r="I51" s="356">
        <v>4545.454545454545</v>
      </c>
      <c r="J51" s="357">
        <f t="shared" si="24"/>
        <v>9090.9090909090901</v>
      </c>
      <c r="K51" s="183"/>
      <c r="L51" s="171" t="s">
        <v>505</v>
      </c>
      <c r="M51" s="172">
        <v>2</v>
      </c>
      <c r="N51" s="58">
        <v>0</v>
      </c>
      <c r="O51" s="109">
        <f t="shared" si="25"/>
        <v>0</v>
      </c>
      <c r="P51" s="1337"/>
      <c r="Q51" s="1305"/>
      <c r="R51" s="677">
        <v>0</v>
      </c>
      <c r="S51" s="676">
        <v>0</v>
      </c>
    </row>
    <row r="52" spans="1:19" ht="36.75" customHeight="1">
      <c r="A52" s="1322"/>
      <c r="B52" s="167">
        <f t="shared" si="26"/>
        <v>118</v>
      </c>
      <c r="C52" s="170" t="s">
        <v>303</v>
      </c>
      <c r="D52" s="177" t="s">
        <v>506</v>
      </c>
      <c r="E52" s="61"/>
      <c r="F52" s="61"/>
      <c r="G52" s="408"/>
      <c r="H52" s="408"/>
      <c r="I52" s="356">
        <v>2045.4545454545455</v>
      </c>
      <c r="J52" s="357">
        <f t="shared" si="24"/>
        <v>8181.818181818182</v>
      </c>
      <c r="K52" s="183"/>
      <c r="L52" s="171" t="s">
        <v>505</v>
      </c>
      <c r="M52" s="172">
        <v>4</v>
      </c>
      <c r="N52" s="58">
        <v>4</v>
      </c>
      <c r="O52" s="109">
        <f t="shared" si="25"/>
        <v>1</v>
      </c>
      <c r="P52" s="1337"/>
      <c r="Q52" s="1305"/>
      <c r="R52" s="677">
        <v>896719</v>
      </c>
      <c r="S52" s="676">
        <v>7023.46</v>
      </c>
    </row>
    <row r="53" spans="1:19" ht="31.5" customHeight="1">
      <c r="A53" s="1322"/>
      <c r="B53" s="167">
        <f t="shared" si="26"/>
        <v>119</v>
      </c>
      <c r="C53" s="170" t="s">
        <v>304</v>
      </c>
      <c r="D53" s="127" t="s">
        <v>507</v>
      </c>
      <c r="E53" s="61"/>
      <c r="F53" s="408"/>
      <c r="G53" s="408"/>
      <c r="H53" s="408"/>
      <c r="I53" s="356">
        <v>31818.18181818182</v>
      </c>
      <c r="J53" s="357">
        <f t="shared" si="24"/>
        <v>63636.36363636364</v>
      </c>
      <c r="K53" s="184"/>
      <c r="L53" s="679" t="s">
        <v>508</v>
      </c>
      <c r="M53" s="172">
        <v>2</v>
      </c>
      <c r="N53" s="58">
        <v>2</v>
      </c>
      <c r="O53" s="109">
        <f t="shared" si="25"/>
        <v>1</v>
      </c>
      <c r="P53" s="1337"/>
      <c r="Q53" s="1305"/>
      <c r="R53" s="677">
        <v>4770060</v>
      </c>
      <c r="S53" s="676">
        <v>37360.99</v>
      </c>
    </row>
    <row r="54" spans="1:19">
      <c r="A54" s="1323"/>
      <c r="B54" s="65"/>
      <c r="C54" s="81"/>
      <c r="D54" s="120"/>
      <c r="E54" s="67"/>
      <c r="F54" s="67"/>
      <c r="G54" s="67"/>
      <c r="H54" s="66"/>
      <c r="I54" s="359"/>
      <c r="J54" s="358">
        <f>SUM(J48:J53)</f>
        <v>95409.090909090912</v>
      </c>
      <c r="K54" s="139"/>
      <c r="L54" s="111"/>
      <c r="M54" s="173">
        <f>SUM(M48:M53)</f>
        <v>9</v>
      </c>
      <c r="N54" s="68">
        <f>SUM(N48:N53)</f>
        <v>6</v>
      </c>
      <c r="O54" s="69">
        <f>IFERROR(AVERAGE(O48:O53),"")</f>
        <v>0.5</v>
      </c>
      <c r="P54" s="1337"/>
      <c r="Q54" s="1305"/>
      <c r="R54" s="678">
        <f t="shared" ref="R54:S54" si="27">SUM(R48:R53)</f>
        <v>5666779</v>
      </c>
      <c r="S54" s="70">
        <f t="shared" si="27"/>
        <v>44384.45</v>
      </c>
    </row>
    <row r="55" spans="1:19" ht="31.5" customHeight="1">
      <c r="A55" s="1361" t="s">
        <v>509</v>
      </c>
      <c r="B55" s="167">
        <f>B53+1</f>
        <v>120</v>
      </c>
      <c r="C55" s="170" t="s">
        <v>308</v>
      </c>
      <c r="D55" s="126" t="s">
        <v>78</v>
      </c>
      <c r="E55" s="61"/>
      <c r="F55" s="61"/>
      <c r="G55" s="408"/>
      <c r="H55" s="408"/>
      <c r="I55" s="356">
        <v>181.81818181818181</v>
      </c>
      <c r="J55" s="357">
        <f t="shared" ref="J55:J58" si="28">I55*M55</f>
        <v>1090.909090909091</v>
      </c>
      <c r="K55" s="183"/>
      <c r="L55" s="171" t="s">
        <v>510</v>
      </c>
      <c r="M55" s="172">
        <v>6</v>
      </c>
      <c r="N55" s="58">
        <v>7</v>
      </c>
      <c r="O55" s="109">
        <f t="shared" ref="O55" si="29">IF(M55,MIN(1,N55/M55),"")</f>
        <v>1</v>
      </c>
      <c r="P55" s="1337"/>
      <c r="Q55" s="1305"/>
      <c r="R55" s="677">
        <v>89660</v>
      </c>
      <c r="S55" s="676">
        <v>702.25</v>
      </c>
    </row>
    <row r="56" spans="1:19" ht="31.5" customHeight="1">
      <c r="A56" s="1362"/>
      <c r="B56" s="167">
        <f>B55+1</f>
        <v>121</v>
      </c>
      <c r="C56" s="170" t="s">
        <v>309</v>
      </c>
      <c r="D56" s="126" t="s">
        <v>78</v>
      </c>
      <c r="E56" s="408"/>
      <c r="F56" s="408"/>
      <c r="G56" s="61"/>
      <c r="H56" s="60"/>
      <c r="I56" s="356">
        <v>1818.1818181818182</v>
      </c>
      <c r="J56" s="357">
        <f t="shared" si="28"/>
        <v>1818.1818181818182</v>
      </c>
      <c r="K56" s="183"/>
      <c r="L56" s="171" t="s">
        <v>511</v>
      </c>
      <c r="M56" s="172">
        <v>1</v>
      </c>
      <c r="N56" s="58">
        <v>1</v>
      </c>
      <c r="O56" s="109">
        <f>IF(M56,MIN(1,N56/M56),"")</f>
        <v>1</v>
      </c>
      <c r="P56" s="1337"/>
      <c r="Q56" s="1305"/>
      <c r="R56" s="677">
        <v>11390</v>
      </c>
      <c r="S56" s="676">
        <v>89.21</v>
      </c>
    </row>
    <row r="57" spans="1:19" ht="31.5" customHeight="1">
      <c r="A57" s="1362"/>
      <c r="B57" s="167">
        <f>B56+1</f>
        <v>122</v>
      </c>
      <c r="C57" s="170" t="s">
        <v>310</v>
      </c>
      <c r="D57" s="126" t="s">
        <v>512</v>
      </c>
      <c r="E57" s="61"/>
      <c r="F57" s="61"/>
      <c r="G57" s="61"/>
      <c r="H57" s="408"/>
      <c r="I57" s="356">
        <v>910</v>
      </c>
      <c r="J57" s="357">
        <f t="shared" si="28"/>
        <v>27300</v>
      </c>
      <c r="K57" s="183"/>
      <c r="L57" s="110" t="s">
        <v>513</v>
      </c>
      <c r="M57" s="172">
        <v>30</v>
      </c>
      <c r="N57" s="58">
        <v>0</v>
      </c>
      <c r="O57" s="109">
        <f t="shared" ref="O57:O58" si="30">IF(M57,MIN(1,N57/M57),"")</f>
        <v>0</v>
      </c>
      <c r="P57" s="1337"/>
      <c r="Q57" s="1305"/>
      <c r="R57" s="677">
        <v>78456</v>
      </c>
      <c r="S57" s="676">
        <v>614.5</v>
      </c>
    </row>
    <row r="58" spans="1:19" ht="31.5" customHeight="1">
      <c r="A58" s="1362"/>
      <c r="B58" s="167">
        <f>B57+1</f>
        <v>123</v>
      </c>
      <c r="C58" s="170" t="s">
        <v>311</v>
      </c>
      <c r="D58" s="127" t="s">
        <v>499</v>
      </c>
      <c r="E58" s="61"/>
      <c r="F58" s="61"/>
      <c r="G58" s="61"/>
      <c r="H58" s="60"/>
      <c r="I58" s="356"/>
      <c r="J58" s="357">
        <f t="shared" si="28"/>
        <v>0</v>
      </c>
      <c r="K58" s="184"/>
      <c r="L58" s="110"/>
      <c r="M58" s="172"/>
      <c r="N58" s="58"/>
      <c r="O58" s="109" t="str">
        <f t="shared" si="30"/>
        <v/>
      </c>
      <c r="P58" s="1337"/>
      <c r="Q58" s="1305"/>
      <c r="R58" s="677">
        <v>0</v>
      </c>
      <c r="S58" s="676">
        <v>0</v>
      </c>
    </row>
    <row r="59" spans="1:19">
      <c r="A59" s="1363"/>
      <c r="B59" s="65"/>
      <c r="C59" s="81"/>
      <c r="D59" s="120"/>
      <c r="E59" s="67"/>
      <c r="F59" s="67"/>
      <c r="G59" s="67"/>
      <c r="H59" s="66"/>
      <c r="I59" s="359"/>
      <c r="J59" s="358">
        <f>SUM(J55:J58)</f>
        <v>30209.090909090908</v>
      </c>
      <c r="K59" s="139"/>
      <c r="L59" s="111"/>
      <c r="M59" s="173">
        <f>SUM(M55:M58)</f>
        <v>37</v>
      </c>
      <c r="N59" s="68">
        <f>SUM(N55:N58)</f>
        <v>8</v>
      </c>
      <c r="O59" s="69">
        <f>IFERROR(AVERAGE(O55:O58),"")</f>
        <v>0.66666666666666663</v>
      </c>
      <c r="P59" s="1337"/>
      <c r="Q59" s="1305"/>
      <c r="R59" s="678">
        <f>SUM(R55:R58)</f>
        <v>179506</v>
      </c>
      <c r="S59" s="70">
        <f>SUM(S55:S58)</f>
        <v>1405.96</v>
      </c>
    </row>
    <row r="60" spans="1:19" ht="31.5" customHeight="1">
      <c r="A60" s="1361" t="s">
        <v>514</v>
      </c>
      <c r="B60" s="167">
        <f>B58+1</f>
        <v>124</v>
      </c>
      <c r="C60" s="170" t="s">
        <v>314</v>
      </c>
      <c r="D60" s="126" t="s">
        <v>78</v>
      </c>
      <c r="E60" s="408"/>
      <c r="F60" s="408"/>
      <c r="G60" s="408"/>
      <c r="H60" s="60"/>
      <c r="I60" s="356">
        <v>227.27272727272728</v>
      </c>
      <c r="J60" s="357">
        <f t="shared" ref="J60:J65" si="31">I60*M60</f>
        <v>45454.545454545456</v>
      </c>
      <c r="K60" s="183"/>
      <c r="L60" s="171" t="s">
        <v>515</v>
      </c>
      <c r="M60" s="172">
        <v>200</v>
      </c>
      <c r="N60" s="58">
        <v>202</v>
      </c>
      <c r="O60" s="109">
        <f t="shared" ref="O60:O61" si="32">IF(M60,MIN(1,N60/M60),"")</f>
        <v>1</v>
      </c>
      <c r="P60" s="1337"/>
      <c r="Q60" s="1305"/>
      <c r="R60" s="677">
        <v>4957646</v>
      </c>
      <c r="S60" s="676">
        <v>38830.239999999998</v>
      </c>
    </row>
    <row r="61" spans="1:19" ht="31.5" customHeight="1">
      <c r="A61" s="1362"/>
      <c r="B61" s="167">
        <f>B60+1</f>
        <v>125</v>
      </c>
      <c r="C61" s="170" t="s">
        <v>315</v>
      </c>
      <c r="D61" s="126" t="s">
        <v>506</v>
      </c>
      <c r="E61" s="408"/>
      <c r="F61" s="408"/>
      <c r="G61" s="408"/>
      <c r="H61" s="408"/>
      <c r="I61" s="356">
        <v>12727.272727272728</v>
      </c>
      <c r="J61" s="357">
        <f t="shared" si="31"/>
        <v>50909.090909090912</v>
      </c>
      <c r="K61" s="183"/>
      <c r="L61" s="171" t="s">
        <v>505</v>
      </c>
      <c r="M61" s="172">
        <v>4</v>
      </c>
      <c r="N61" s="58">
        <v>4</v>
      </c>
      <c r="O61" s="109">
        <f t="shared" si="32"/>
        <v>1</v>
      </c>
      <c r="P61" s="1337"/>
      <c r="Q61" s="1305"/>
      <c r="R61" s="677">
        <v>5436755</v>
      </c>
      <c r="S61" s="676">
        <v>42582.81</v>
      </c>
    </row>
    <row r="62" spans="1:19" ht="31.5" customHeight="1">
      <c r="A62" s="1362"/>
      <c r="B62" s="167">
        <f t="shared" ref="B62:B65" si="33">B61+1</f>
        <v>126</v>
      </c>
      <c r="C62" s="170" t="s">
        <v>316</v>
      </c>
      <c r="D62" s="126" t="s">
        <v>506</v>
      </c>
      <c r="E62" s="408"/>
      <c r="F62" s="408"/>
      <c r="G62" s="408"/>
      <c r="H62" s="408"/>
      <c r="I62" s="356">
        <v>9090.9090909090901</v>
      </c>
      <c r="J62" s="357">
        <f t="shared" si="31"/>
        <v>45454.545454545449</v>
      </c>
      <c r="K62" s="183"/>
      <c r="L62" s="171" t="s">
        <v>505</v>
      </c>
      <c r="M62" s="172">
        <v>5</v>
      </c>
      <c r="N62" s="58">
        <v>3</v>
      </c>
      <c r="O62" s="109">
        <f>IF(M62,MIN(1,N62/M62),"")</f>
        <v>0.6</v>
      </c>
      <c r="P62" s="1337"/>
      <c r="Q62" s="1305"/>
      <c r="R62" s="677">
        <v>2898496</v>
      </c>
      <c r="S62" s="676">
        <v>22702.16</v>
      </c>
    </row>
    <row r="63" spans="1:19" ht="31.5" customHeight="1">
      <c r="A63" s="1362"/>
      <c r="B63" s="167">
        <f t="shared" si="33"/>
        <v>127</v>
      </c>
      <c r="C63" s="170" t="s">
        <v>317</v>
      </c>
      <c r="D63" s="126" t="s">
        <v>78</v>
      </c>
      <c r="E63" s="408"/>
      <c r="F63" s="408"/>
      <c r="G63" s="408"/>
      <c r="H63" s="408"/>
      <c r="I63" s="356">
        <v>20000</v>
      </c>
      <c r="J63" s="357">
        <f t="shared" si="31"/>
        <v>20000</v>
      </c>
      <c r="K63" s="183"/>
      <c r="L63" s="171" t="s">
        <v>516</v>
      </c>
      <c r="M63" s="172">
        <v>1</v>
      </c>
      <c r="N63" s="58">
        <v>1</v>
      </c>
      <c r="O63" s="109">
        <f>IF(M63,MIN(1,N63/M63),"")</f>
        <v>1</v>
      </c>
      <c r="P63" s="1337"/>
      <c r="Q63" s="1305"/>
      <c r="R63" s="677">
        <v>1229939</v>
      </c>
      <c r="S63" s="676">
        <v>9633.3700000000008</v>
      </c>
    </row>
    <row r="64" spans="1:19" ht="31.5" customHeight="1">
      <c r="A64" s="1362"/>
      <c r="B64" s="167">
        <f t="shared" si="33"/>
        <v>128</v>
      </c>
      <c r="C64" s="170" t="s">
        <v>318</v>
      </c>
      <c r="D64" s="126" t="s">
        <v>78</v>
      </c>
      <c r="E64" s="61"/>
      <c r="F64" s="408"/>
      <c r="G64" s="408"/>
      <c r="H64" s="408"/>
      <c r="I64" s="356">
        <v>18500</v>
      </c>
      <c r="J64" s="357">
        <f t="shared" si="31"/>
        <v>18500</v>
      </c>
      <c r="K64" s="183"/>
      <c r="L64" s="171" t="s">
        <v>505</v>
      </c>
      <c r="M64" s="172">
        <v>1</v>
      </c>
      <c r="N64" s="58">
        <v>1</v>
      </c>
      <c r="O64" s="109">
        <f t="shared" ref="O64:O65" si="34">IF(M64,MIN(1,N64/M64),"")</f>
        <v>1</v>
      </c>
      <c r="P64" s="1337"/>
      <c r="Q64" s="1305"/>
      <c r="R64" s="677">
        <v>96000</v>
      </c>
      <c r="S64" s="676">
        <v>751.91</v>
      </c>
    </row>
    <row r="65" spans="1:19" ht="31.5" customHeight="1">
      <c r="A65" s="1362"/>
      <c r="B65" s="167">
        <f t="shared" si="33"/>
        <v>129</v>
      </c>
      <c r="C65" s="170" t="s">
        <v>319</v>
      </c>
      <c r="D65" s="127" t="s">
        <v>78</v>
      </c>
      <c r="E65" s="61"/>
      <c r="F65" s="408"/>
      <c r="G65" s="408"/>
      <c r="H65" s="60"/>
      <c r="I65" s="356">
        <v>4500</v>
      </c>
      <c r="J65" s="357">
        <f t="shared" si="31"/>
        <v>4500</v>
      </c>
      <c r="K65" s="184"/>
      <c r="L65" s="171" t="s">
        <v>504</v>
      </c>
      <c r="M65" s="172">
        <v>1</v>
      </c>
      <c r="N65" s="58">
        <v>0</v>
      </c>
      <c r="O65" s="109">
        <f t="shared" si="34"/>
        <v>0</v>
      </c>
      <c r="P65" s="1338"/>
      <c r="Q65" s="1305"/>
      <c r="R65" s="677">
        <v>0</v>
      </c>
      <c r="S65" s="676">
        <v>0</v>
      </c>
    </row>
    <row r="66" spans="1:19">
      <c r="A66" s="1363"/>
      <c r="B66" s="65"/>
      <c r="C66" s="81"/>
      <c r="D66" s="120"/>
      <c r="E66" s="67"/>
      <c r="F66" s="67"/>
      <c r="G66" s="67"/>
      <c r="H66" s="66"/>
      <c r="I66" s="359"/>
      <c r="J66" s="358">
        <f>SUM(J60:J65)</f>
        <v>184818.18181818182</v>
      </c>
      <c r="K66" s="139"/>
      <c r="L66" s="111"/>
      <c r="M66" s="173">
        <f>SUM(M60:M65)</f>
        <v>212</v>
      </c>
      <c r="N66" s="68">
        <f>SUM(N60:N65)</f>
        <v>211</v>
      </c>
      <c r="O66" s="69">
        <f>IFERROR(AVERAGE(O60:O65),"")</f>
        <v>0.76666666666666661</v>
      </c>
      <c r="P66" s="69">
        <f>IFERROR(AVERAGE(O48:O53,O55:O58,O60:O65),"")</f>
        <v>0.66153846153846152</v>
      </c>
      <c r="Q66" s="1305"/>
      <c r="R66" s="678">
        <f>SUM(R60:R65)</f>
        <v>14618836</v>
      </c>
      <c r="S66" s="70">
        <f>SUM(S60:S65)</f>
        <v>114500.48999999999</v>
      </c>
    </row>
    <row r="67" spans="1:19" ht="30.75" customHeight="1">
      <c r="A67" s="360" t="s">
        <v>320</v>
      </c>
      <c r="B67" s="361"/>
      <c r="C67" s="361"/>
      <c r="D67" s="362"/>
      <c r="E67" s="363" t="s">
        <v>248</v>
      </c>
      <c r="F67" s="364" t="s">
        <v>249</v>
      </c>
      <c r="G67" s="364" t="s">
        <v>250</v>
      </c>
      <c r="H67" s="365" t="s">
        <v>251</v>
      </c>
      <c r="I67" s="384"/>
      <c r="J67" s="385">
        <f>J72+J78+J83</f>
        <v>192318.18181818179</v>
      </c>
      <c r="K67" s="366"/>
      <c r="L67" s="367"/>
      <c r="M67" s="368"/>
      <c r="N67" s="369"/>
      <c r="O67" s="370"/>
      <c r="P67" s="371"/>
      <c r="Q67" s="1305"/>
      <c r="R67" s="373">
        <f t="shared" ref="R67:S67" si="35">R72+R78+R83</f>
        <v>14372875</v>
      </c>
      <c r="S67" s="374">
        <f t="shared" si="35"/>
        <v>112574.01000000001</v>
      </c>
    </row>
    <row r="68" spans="1:19" ht="30.65" customHeight="1">
      <c r="A68" s="1347" t="s">
        <v>321</v>
      </c>
      <c r="B68" s="167">
        <f>B65+1</f>
        <v>130</v>
      </c>
      <c r="C68" s="170" t="s">
        <v>322</v>
      </c>
      <c r="D68" s="176" t="s">
        <v>78</v>
      </c>
      <c r="E68" s="408"/>
      <c r="F68" s="408"/>
      <c r="G68" s="61"/>
      <c r="H68" s="60"/>
      <c r="I68" s="356">
        <v>3000</v>
      </c>
      <c r="J68" s="357">
        <f t="shared" ref="J68:J71" si="36">I68*M68</f>
        <v>3000</v>
      </c>
      <c r="K68" s="182"/>
      <c r="L68" s="171" t="s">
        <v>492</v>
      </c>
      <c r="M68" s="1125">
        <v>1</v>
      </c>
      <c r="N68" s="58">
        <v>1</v>
      </c>
      <c r="O68" s="109">
        <f t="shared" ref="O68:O71" si="37">IF(M68,MIN(1,N68/M68),"")</f>
        <v>1</v>
      </c>
      <c r="P68" s="1339"/>
      <c r="Q68" s="1305"/>
      <c r="R68" s="677">
        <v>326005</v>
      </c>
      <c r="S68" s="676">
        <v>2553.4</v>
      </c>
    </row>
    <row r="69" spans="1:19" ht="30.65" hidden="1" customHeight="1">
      <c r="A69" s="1303"/>
      <c r="B69" s="167"/>
      <c r="C69" s="170" t="s">
        <v>323</v>
      </c>
      <c r="D69" s="177"/>
      <c r="E69" s="61"/>
      <c r="F69" s="61"/>
      <c r="G69" s="61"/>
      <c r="H69" s="60"/>
      <c r="I69" s="356"/>
      <c r="J69" s="357">
        <f t="shared" si="36"/>
        <v>0</v>
      </c>
      <c r="K69" s="183"/>
      <c r="L69" s="171"/>
      <c r="M69" s="1125"/>
      <c r="N69" s="58"/>
      <c r="O69" s="109"/>
      <c r="P69" s="1305"/>
      <c r="Q69" s="1305"/>
      <c r="R69" s="677"/>
      <c r="S69" s="676"/>
    </row>
    <row r="70" spans="1:19" ht="30.65" customHeight="1">
      <c r="A70" s="1348"/>
      <c r="B70" s="167">
        <f>B68+1</f>
        <v>131</v>
      </c>
      <c r="C70" s="170" t="s">
        <v>324</v>
      </c>
      <c r="D70" s="126" t="s">
        <v>517</v>
      </c>
      <c r="E70" s="61"/>
      <c r="F70" s="408"/>
      <c r="G70" s="408"/>
      <c r="H70" s="60"/>
      <c r="I70" s="356">
        <v>1363.6363636363637</v>
      </c>
      <c r="J70" s="357">
        <f t="shared" si="36"/>
        <v>2727.2727272727275</v>
      </c>
      <c r="K70" s="183"/>
      <c r="L70" s="171" t="s">
        <v>504</v>
      </c>
      <c r="M70" s="1125">
        <v>2</v>
      </c>
      <c r="N70" s="58">
        <v>2</v>
      </c>
      <c r="O70" s="109">
        <f t="shared" si="37"/>
        <v>1</v>
      </c>
      <c r="P70" s="1305"/>
      <c r="Q70" s="1305"/>
      <c r="R70" s="677">
        <v>299998</v>
      </c>
      <c r="S70" s="676">
        <v>2349.6999999999998</v>
      </c>
    </row>
    <row r="71" spans="1:19" ht="30.65" hidden="1" customHeight="1">
      <c r="A71" s="1348"/>
      <c r="B71" s="167"/>
      <c r="C71" s="170" t="s">
        <v>325</v>
      </c>
      <c r="D71" s="127"/>
      <c r="E71" s="61"/>
      <c r="F71" s="61"/>
      <c r="G71" s="61"/>
      <c r="H71" s="60"/>
      <c r="I71" s="356"/>
      <c r="J71" s="357">
        <f t="shared" si="36"/>
        <v>0</v>
      </c>
      <c r="K71" s="184"/>
      <c r="L71" s="171"/>
      <c r="M71" s="1125"/>
      <c r="N71" s="58"/>
      <c r="O71" s="109" t="str">
        <f t="shared" si="37"/>
        <v/>
      </c>
      <c r="P71" s="1305"/>
      <c r="Q71" s="1305"/>
      <c r="R71" s="165"/>
      <c r="S71" s="257"/>
    </row>
    <row r="72" spans="1:19">
      <c r="A72" s="1348"/>
      <c r="B72" s="65"/>
      <c r="C72" s="81"/>
      <c r="D72" s="120"/>
      <c r="E72" s="67"/>
      <c r="F72" s="67"/>
      <c r="G72" s="67"/>
      <c r="H72" s="66"/>
      <c r="I72" s="359"/>
      <c r="J72" s="358">
        <f>SUM(J68:J71)</f>
        <v>5727.2727272727279</v>
      </c>
      <c r="K72" s="139"/>
      <c r="L72" s="111"/>
      <c r="M72" s="173">
        <f>SUM(M68:M71)</f>
        <v>3</v>
      </c>
      <c r="N72" s="68">
        <f>SUM(N68:N71)</f>
        <v>3</v>
      </c>
      <c r="O72" s="69">
        <f>IFERROR(AVERAGE(O68:O71),"")</f>
        <v>1</v>
      </c>
      <c r="P72" s="1305"/>
      <c r="Q72" s="1305"/>
      <c r="R72" s="678">
        <f>SUM(R68:R71)</f>
        <v>626003</v>
      </c>
      <c r="S72" s="70">
        <f>SUM(S68:S71)</f>
        <v>4903.1000000000004</v>
      </c>
    </row>
    <row r="73" spans="1:19" ht="30.65" customHeight="1">
      <c r="A73" s="1359" t="s">
        <v>326</v>
      </c>
      <c r="B73" s="167">
        <f>B70+1</f>
        <v>132</v>
      </c>
      <c r="C73" s="170" t="s">
        <v>327</v>
      </c>
      <c r="D73" s="176" t="s">
        <v>78</v>
      </c>
      <c r="E73" s="61"/>
      <c r="F73" s="408"/>
      <c r="G73" s="408"/>
      <c r="H73" s="60"/>
      <c r="I73" s="356">
        <v>4545.454545454545</v>
      </c>
      <c r="J73" s="357">
        <f t="shared" ref="J73:J77" si="38">I73*M73</f>
        <v>4545.454545454545</v>
      </c>
      <c r="K73" s="182"/>
      <c r="L73" s="171" t="s">
        <v>518</v>
      </c>
      <c r="M73" s="1125">
        <v>1</v>
      </c>
      <c r="N73" s="58">
        <v>0</v>
      </c>
      <c r="O73" s="109">
        <f t="shared" ref="O73:O77" si="39">IF(M73,MIN(1,N73/M73),"")</f>
        <v>0</v>
      </c>
      <c r="P73" s="1305"/>
      <c r="Q73" s="1305"/>
      <c r="R73" s="677">
        <v>0</v>
      </c>
      <c r="S73" s="676">
        <v>0</v>
      </c>
    </row>
    <row r="74" spans="1:19" ht="30.65" customHeight="1">
      <c r="A74" s="1359"/>
      <c r="B74" s="167">
        <f>B73+1</f>
        <v>133</v>
      </c>
      <c r="C74" s="170" t="s">
        <v>328</v>
      </c>
      <c r="D74" s="177" t="s">
        <v>78</v>
      </c>
      <c r="E74" s="408"/>
      <c r="F74" s="408"/>
      <c r="G74" s="408"/>
      <c r="H74" s="60"/>
      <c r="I74" s="356">
        <v>4500</v>
      </c>
      <c r="J74" s="357">
        <f t="shared" si="38"/>
        <v>4500</v>
      </c>
      <c r="K74" s="183"/>
      <c r="L74" s="171" t="s">
        <v>502</v>
      </c>
      <c r="M74" s="1125">
        <v>1</v>
      </c>
      <c r="N74" s="58">
        <v>0</v>
      </c>
      <c r="O74" s="109">
        <f t="shared" si="39"/>
        <v>0</v>
      </c>
      <c r="P74" s="1305"/>
      <c r="Q74" s="1305"/>
      <c r="R74" s="677">
        <v>0</v>
      </c>
      <c r="S74" s="676">
        <v>0</v>
      </c>
    </row>
    <row r="75" spans="1:19" ht="30.65" customHeight="1">
      <c r="A75" s="1359"/>
      <c r="B75" s="167">
        <f t="shared" ref="B75:B77" si="40">B74+1</f>
        <v>134</v>
      </c>
      <c r="C75" s="170" t="s">
        <v>329</v>
      </c>
      <c r="D75" s="177" t="s">
        <v>490</v>
      </c>
      <c r="E75" s="408"/>
      <c r="F75" s="408"/>
      <c r="G75" s="61"/>
      <c r="H75" s="60"/>
      <c r="I75" s="356">
        <v>1818.1818181818182</v>
      </c>
      <c r="J75" s="357">
        <f t="shared" si="38"/>
        <v>3636.3636363636365</v>
      </c>
      <c r="K75" s="183"/>
      <c r="L75" s="171" t="s">
        <v>488</v>
      </c>
      <c r="M75" s="1125">
        <v>2</v>
      </c>
      <c r="N75" s="58">
        <v>2</v>
      </c>
      <c r="O75" s="109">
        <f t="shared" si="39"/>
        <v>1</v>
      </c>
      <c r="P75" s="1305"/>
      <c r="Q75" s="1305"/>
      <c r="R75" s="677">
        <v>400000</v>
      </c>
      <c r="S75" s="676">
        <v>3132.96</v>
      </c>
    </row>
    <row r="76" spans="1:19" ht="30.65" customHeight="1">
      <c r="A76" s="1348"/>
      <c r="B76" s="167">
        <f t="shared" si="40"/>
        <v>135</v>
      </c>
      <c r="C76" s="170" t="s">
        <v>330</v>
      </c>
      <c r="D76" s="177" t="s">
        <v>519</v>
      </c>
      <c r="E76" s="408"/>
      <c r="F76" s="408"/>
      <c r="G76" s="408"/>
      <c r="H76" s="408"/>
      <c r="I76" s="356">
        <v>109090.90909090909</v>
      </c>
      <c r="J76" s="357">
        <f t="shared" si="38"/>
        <v>109090.90909090909</v>
      </c>
      <c r="K76" s="183"/>
      <c r="L76" s="171" t="s">
        <v>520</v>
      </c>
      <c r="M76" s="1125">
        <v>1</v>
      </c>
      <c r="N76" s="58">
        <v>1</v>
      </c>
      <c r="O76" s="109">
        <f t="shared" si="39"/>
        <v>1</v>
      </c>
      <c r="P76" s="1305"/>
      <c r="Q76" s="1305"/>
      <c r="R76" s="677">
        <v>8674669</v>
      </c>
      <c r="S76" s="676">
        <v>67943.42</v>
      </c>
    </row>
    <row r="77" spans="1:19" ht="30.65" customHeight="1">
      <c r="A77" s="1348"/>
      <c r="B77" s="167">
        <f t="shared" si="40"/>
        <v>136</v>
      </c>
      <c r="C77" s="170" t="s">
        <v>331</v>
      </c>
      <c r="D77" s="127" t="s">
        <v>521</v>
      </c>
      <c r="E77" s="408"/>
      <c r="F77" s="408"/>
      <c r="G77" s="61"/>
      <c r="H77" s="60"/>
      <c r="I77" s="356">
        <v>1931.8181818181818</v>
      </c>
      <c r="J77" s="357">
        <f t="shared" si="38"/>
        <v>7727.272727272727</v>
      </c>
      <c r="K77" s="184"/>
      <c r="L77" s="171" t="s">
        <v>505</v>
      </c>
      <c r="M77" s="1125">
        <v>4</v>
      </c>
      <c r="N77" s="58">
        <v>4</v>
      </c>
      <c r="O77" s="109">
        <f t="shared" si="39"/>
        <v>1</v>
      </c>
      <c r="P77" s="1305"/>
      <c r="Q77" s="1305"/>
      <c r="R77" s="677">
        <v>815221</v>
      </c>
      <c r="S77" s="676">
        <v>6385.13</v>
      </c>
    </row>
    <row r="78" spans="1:19">
      <c r="A78" s="1348"/>
      <c r="B78" s="65"/>
      <c r="C78" s="81"/>
      <c r="D78" s="120"/>
      <c r="E78" s="67"/>
      <c r="F78" s="67"/>
      <c r="G78" s="67"/>
      <c r="H78" s="66"/>
      <c r="I78" s="359"/>
      <c r="J78" s="358">
        <f>SUM(J73:J77)</f>
        <v>129499.99999999999</v>
      </c>
      <c r="K78" s="139"/>
      <c r="L78" s="111"/>
      <c r="M78" s="173">
        <f>SUM(M73:M77)</f>
        <v>9</v>
      </c>
      <c r="N78" s="68">
        <f>SUM(N73:N77)</f>
        <v>7</v>
      </c>
      <c r="O78" s="69">
        <f>IFERROR(AVERAGE(O73:O77),"")</f>
        <v>0.6</v>
      </c>
      <c r="P78" s="1305"/>
      <c r="Q78" s="1305"/>
      <c r="R78" s="678">
        <f>SUM(R73:R77)</f>
        <v>9889890</v>
      </c>
      <c r="S78" s="70">
        <f>SUM(S73:S77)</f>
        <v>77461.510000000009</v>
      </c>
    </row>
    <row r="79" spans="1:19" ht="30.65" customHeight="1">
      <c r="A79" s="1347" t="s">
        <v>332</v>
      </c>
      <c r="B79" s="167">
        <f>B77+1</f>
        <v>137</v>
      </c>
      <c r="C79" s="170" t="s">
        <v>333</v>
      </c>
      <c r="D79" s="176" t="s">
        <v>522</v>
      </c>
      <c r="E79" s="61"/>
      <c r="F79" s="408"/>
      <c r="G79" s="61"/>
      <c r="H79" s="60"/>
      <c r="I79" s="356">
        <v>4545.454545454545</v>
      </c>
      <c r="J79" s="357">
        <f t="shared" ref="J79:J82" si="41">I79*M79</f>
        <v>4545.454545454545</v>
      </c>
      <c r="K79" s="182"/>
      <c r="L79" s="171" t="s">
        <v>483</v>
      </c>
      <c r="M79" s="1125">
        <v>1</v>
      </c>
      <c r="N79" s="58">
        <v>1</v>
      </c>
      <c r="O79" s="109">
        <f t="shared" ref="O79:O81" si="42">IF(M79,MIN(1,N79/M79),"")</f>
        <v>1</v>
      </c>
      <c r="P79" s="1305"/>
      <c r="Q79" s="1305"/>
      <c r="R79" s="677">
        <v>498000</v>
      </c>
      <c r="S79" s="676">
        <v>3900.53</v>
      </c>
    </row>
    <row r="80" spans="1:19" ht="30.65" customHeight="1">
      <c r="A80" s="1303"/>
      <c r="B80" s="167">
        <f>B79+1</f>
        <v>138</v>
      </c>
      <c r="C80" s="170" t="s">
        <v>334</v>
      </c>
      <c r="D80" s="177" t="s">
        <v>78</v>
      </c>
      <c r="E80" s="408"/>
      <c r="F80" s="408"/>
      <c r="G80" s="61"/>
      <c r="H80" s="60"/>
      <c r="I80" s="356">
        <v>12000</v>
      </c>
      <c r="J80" s="357">
        <f t="shared" si="41"/>
        <v>48000</v>
      </c>
      <c r="K80" s="183"/>
      <c r="L80" s="680" t="s">
        <v>504</v>
      </c>
      <c r="M80" s="1125">
        <v>4</v>
      </c>
      <c r="N80" s="58">
        <v>4</v>
      </c>
      <c r="O80" s="109">
        <f t="shared" si="42"/>
        <v>1</v>
      </c>
      <c r="P80" s="1305"/>
      <c r="Q80" s="1305"/>
      <c r="R80" s="677">
        <v>3108982</v>
      </c>
      <c r="S80" s="676">
        <v>24350.77</v>
      </c>
    </row>
    <row r="81" spans="1:19" ht="30.65" hidden="1" customHeight="1">
      <c r="A81" s="1348"/>
      <c r="B81" s="167"/>
      <c r="C81" s="170" t="s">
        <v>335</v>
      </c>
      <c r="D81" s="126"/>
      <c r="E81" s="61"/>
      <c r="F81" s="61"/>
      <c r="G81" s="61"/>
      <c r="H81" s="60"/>
      <c r="I81" s="356"/>
      <c r="J81" s="357">
        <f t="shared" si="41"/>
        <v>0</v>
      </c>
      <c r="K81" s="183"/>
      <c r="L81" s="680"/>
      <c r="M81" s="1125"/>
      <c r="N81" s="58"/>
      <c r="O81" s="109" t="str">
        <f t="shared" si="42"/>
        <v/>
      </c>
      <c r="P81" s="1305"/>
      <c r="Q81" s="1305"/>
      <c r="R81" s="677"/>
      <c r="S81" s="676"/>
    </row>
    <row r="82" spans="1:19" ht="30.65" customHeight="1">
      <c r="A82" s="1348"/>
      <c r="B82" s="167">
        <f>B80+1</f>
        <v>139</v>
      </c>
      <c r="C82" s="170" t="s">
        <v>336</v>
      </c>
      <c r="D82" s="127" t="s">
        <v>523</v>
      </c>
      <c r="E82" s="61"/>
      <c r="F82" s="408"/>
      <c r="G82" s="408"/>
      <c r="H82" s="60"/>
      <c r="I82" s="356">
        <v>2272.7272727272725</v>
      </c>
      <c r="J82" s="357">
        <f t="shared" si="41"/>
        <v>4545.454545454545</v>
      </c>
      <c r="K82" s="184"/>
      <c r="L82" s="680" t="s">
        <v>504</v>
      </c>
      <c r="M82" s="1125">
        <v>2</v>
      </c>
      <c r="N82" s="58">
        <v>1</v>
      </c>
      <c r="O82" s="109">
        <f t="shared" ref="O82" si="43">IF(M82,MIN(1,N82/M82),"")</f>
        <v>0.5</v>
      </c>
      <c r="P82" s="1305"/>
      <c r="Q82" s="1305"/>
      <c r="R82" s="677">
        <v>250000</v>
      </c>
      <c r="S82" s="676">
        <v>1958.1</v>
      </c>
    </row>
    <row r="83" spans="1:19">
      <c r="A83" s="1348"/>
      <c r="B83" s="65"/>
      <c r="C83" s="81"/>
      <c r="D83" s="120"/>
      <c r="E83" s="67"/>
      <c r="F83" s="67"/>
      <c r="G83" s="67"/>
      <c r="H83" s="66"/>
      <c r="I83" s="359"/>
      <c r="J83" s="358">
        <f>SUM(J79:J82)</f>
        <v>57090.909090909088</v>
      </c>
      <c r="K83" s="139"/>
      <c r="L83" s="111"/>
      <c r="M83" s="173">
        <f>SUM(M79:M82)</f>
        <v>7</v>
      </c>
      <c r="N83" s="68">
        <f>SUM(N79:N82)</f>
        <v>6</v>
      </c>
      <c r="O83" s="69">
        <f>IFERROR(AVERAGE(O79:O82),"")</f>
        <v>0.83333333333333337</v>
      </c>
      <c r="P83" s="69">
        <f>IFERROR(AVERAGE(O68:O71,O73:O77,O79:O82),"")</f>
        <v>0.75</v>
      </c>
      <c r="Q83" s="1305"/>
      <c r="R83" s="352">
        <f>SUM(R79:R82)</f>
        <v>3856982</v>
      </c>
      <c r="S83" s="70">
        <f>SUM(S79:S82)</f>
        <v>30209.399999999998</v>
      </c>
    </row>
    <row r="84" spans="1:19" ht="30.75" customHeight="1">
      <c r="A84" s="360" t="s">
        <v>337</v>
      </c>
      <c r="B84" s="361"/>
      <c r="C84" s="361"/>
      <c r="D84" s="362"/>
      <c r="E84" s="363" t="s">
        <v>248</v>
      </c>
      <c r="F84" s="364" t="s">
        <v>249</v>
      </c>
      <c r="G84" s="364" t="s">
        <v>250</v>
      </c>
      <c r="H84" s="365" t="s">
        <v>251</v>
      </c>
      <c r="I84" s="384"/>
      <c r="J84" s="385">
        <f>J88+J93</f>
        <v>30479.909090909096</v>
      </c>
      <c r="K84" s="366"/>
      <c r="L84" s="367"/>
      <c r="M84" s="368"/>
      <c r="N84" s="369"/>
      <c r="O84" s="370"/>
      <c r="P84" s="371"/>
      <c r="Q84" s="1305"/>
      <c r="R84" s="373">
        <f t="shared" ref="R84:S84" si="44">R88+R93</f>
        <v>2535962</v>
      </c>
      <c r="S84" s="374">
        <f t="shared" si="44"/>
        <v>19862.650000000001</v>
      </c>
    </row>
    <row r="85" spans="1:19" ht="30.65" customHeight="1">
      <c r="A85" s="1347" t="s">
        <v>338</v>
      </c>
      <c r="B85" s="167">
        <f>B82+1</f>
        <v>140</v>
      </c>
      <c r="C85" s="170" t="s">
        <v>339</v>
      </c>
      <c r="D85" s="176" t="s">
        <v>78</v>
      </c>
      <c r="E85" s="408"/>
      <c r="F85" s="408"/>
      <c r="G85" s="408"/>
      <c r="H85" s="408"/>
      <c r="I85" s="356">
        <v>2727.2727272727275</v>
      </c>
      <c r="J85" s="357">
        <f t="shared" ref="J85:J87" si="45">I85*M85</f>
        <v>10909.09090909091</v>
      </c>
      <c r="K85" s="182"/>
      <c r="L85" s="680" t="s">
        <v>504</v>
      </c>
      <c r="M85" s="1125">
        <v>4</v>
      </c>
      <c r="N85" s="58">
        <v>4</v>
      </c>
      <c r="O85" s="109">
        <f t="shared" ref="O85" si="46">IF(M85,MIN(1,N85/M85),"")</f>
        <v>1</v>
      </c>
      <c r="P85" s="1340"/>
      <c r="Q85" s="1305"/>
      <c r="R85" s="677">
        <v>1144168</v>
      </c>
      <c r="S85" s="676">
        <v>8961.57</v>
      </c>
    </row>
    <row r="86" spans="1:19" ht="30.65" hidden="1" customHeight="1">
      <c r="A86" s="1303"/>
      <c r="B86" s="167"/>
      <c r="C86" s="170" t="s">
        <v>340</v>
      </c>
      <c r="D86" s="177" t="s">
        <v>78</v>
      </c>
      <c r="E86" s="61"/>
      <c r="F86" s="61"/>
      <c r="G86" s="61"/>
      <c r="H86" s="60"/>
      <c r="I86" s="356"/>
      <c r="J86" s="357">
        <f t="shared" si="45"/>
        <v>0</v>
      </c>
      <c r="K86" s="183"/>
      <c r="L86" s="171" t="s">
        <v>504</v>
      </c>
      <c r="M86" s="1125"/>
      <c r="N86" s="58"/>
      <c r="O86" s="109"/>
      <c r="P86" s="1341"/>
      <c r="Q86" s="1305"/>
      <c r="R86" s="165"/>
      <c r="S86" s="257"/>
    </row>
    <row r="87" spans="1:19" ht="30.65" hidden="1" customHeight="1">
      <c r="A87" s="1348"/>
      <c r="B87" s="167"/>
      <c r="C87" s="170" t="s">
        <v>341</v>
      </c>
      <c r="D87" s="126" t="s">
        <v>512</v>
      </c>
      <c r="E87" s="61"/>
      <c r="F87" s="61"/>
      <c r="G87" s="61"/>
      <c r="H87" s="60"/>
      <c r="I87" s="356"/>
      <c r="J87" s="357">
        <f t="shared" si="45"/>
        <v>0</v>
      </c>
      <c r="K87" s="183"/>
      <c r="L87" s="171" t="s">
        <v>504</v>
      </c>
      <c r="M87" s="1125"/>
      <c r="N87" s="58"/>
      <c r="O87" s="109" t="str">
        <f t="shared" ref="O87" si="47">IF(M87,MIN(1,N87/M87),"")</f>
        <v/>
      </c>
      <c r="P87" s="1341"/>
      <c r="Q87" s="1305"/>
      <c r="R87" s="165"/>
      <c r="S87" s="257"/>
    </row>
    <row r="88" spans="1:19">
      <c r="A88" s="1348"/>
      <c r="B88" s="65"/>
      <c r="C88" s="81"/>
      <c r="D88" s="120"/>
      <c r="E88" s="67"/>
      <c r="F88" s="67"/>
      <c r="G88" s="67"/>
      <c r="H88" s="66"/>
      <c r="I88" s="359"/>
      <c r="J88" s="358">
        <f>SUM(J85:J87)</f>
        <v>10909.09090909091</v>
      </c>
      <c r="K88" s="139"/>
      <c r="L88" s="111"/>
      <c r="M88" s="173">
        <f>SUM(M85:M87)</f>
        <v>4</v>
      </c>
      <c r="N88" s="68">
        <f>SUM(N85:N87)</f>
        <v>4</v>
      </c>
      <c r="O88" s="69">
        <f>IFERROR(AVERAGE(O85:O87),"")</f>
        <v>1</v>
      </c>
      <c r="P88" s="1341"/>
      <c r="Q88" s="1305"/>
      <c r="R88" s="678">
        <f>SUM(R85:R87)</f>
        <v>1144168</v>
      </c>
      <c r="S88" s="70">
        <f>SUM(S85:S87)</f>
        <v>8961.57</v>
      </c>
    </row>
    <row r="89" spans="1:19" ht="30.65" customHeight="1">
      <c r="A89" s="1347" t="s">
        <v>342</v>
      </c>
      <c r="B89" s="167">
        <f>B85+1</f>
        <v>141</v>
      </c>
      <c r="C89" s="170" t="s">
        <v>343</v>
      </c>
      <c r="D89" s="176" t="s">
        <v>78</v>
      </c>
      <c r="E89" s="61"/>
      <c r="F89" s="408"/>
      <c r="G89" s="408"/>
      <c r="H89" s="60"/>
      <c r="I89" s="356">
        <v>4000</v>
      </c>
      <c r="J89" s="357">
        <f t="shared" ref="J89:J92" si="48">I89*M89</f>
        <v>4000</v>
      </c>
      <c r="K89" s="182"/>
      <c r="L89" s="171"/>
      <c r="M89" s="1125">
        <v>1</v>
      </c>
      <c r="N89" s="58">
        <v>0</v>
      </c>
      <c r="O89" s="109">
        <f t="shared" ref="O89:O90" si="49">IF(M89,MIN(1,N89/M89),"")</f>
        <v>0</v>
      </c>
      <c r="P89" s="1341"/>
      <c r="Q89" s="1305"/>
      <c r="R89" s="677">
        <v>0</v>
      </c>
      <c r="S89" s="676">
        <v>0</v>
      </c>
    </row>
    <row r="90" spans="1:19" ht="30.65" customHeight="1">
      <c r="A90" s="1303"/>
      <c r="B90" s="167">
        <f>B89+1</f>
        <v>142</v>
      </c>
      <c r="C90" s="170" t="s">
        <v>344</v>
      </c>
      <c r="D90" s="177" t="s">
        <v>512</v>
      </c>
      <c r="E90" s="61"/>
      <c r="F90" s="408"/>
      <c r="G90" s="408"/>
      <c r="H90" s="60"/>
      <c r="I90" s="356">
        <v>2727.2727272727275</v>
      </c>
      <c r="J90" s="357">
        <f t="shared" si="48"/>
        <v>5454.545454545455</v>
      </c>
      <c r="K90" s="183"/>
      <c r="L90" s="171"/>
      <c r="M90" s="1125">
        <v>2</v>
      </c>
      <c r="N90" s="58">
        <v>2</v>
      </c>
      <c r="O90" s="109">
        <f t="shared" si="49"/>
        <v>1</v>
      </c>
      <c r="P90" s="1341"/>
      <c r="Q90" s="1305"/>
      <c r="R90" s="677">
        <v>600000</v>
      </c>
      <c r="S90" s="676">
        <v>4699.4399999999996</v>
      </c>
    </row>
    <row r="91" spans="1:19" ht="30.65" customHeight="1">
      <c r="A91" s="1348"/>
      <c r="B91" s="167">
        <f t="shared" ref="B91:B92" si="50">B90+1</f>
        <v>143</v>
      </c>
      <c r="C91" s="170" t="s">
        <v>345</v>
      </c>
      <c r="D91" s="126" t="s">
        <v>512</v>
      </c>
      <c r="E91" s="408"/>
      <c r="F91" s="408"/>
      <c r="G91" s="61"/>
      <c r="H91" s="60"/>
      <c r="I91" s="356">
        <v>1363.6363636363637</v>
      </c>
      <c r="J91" s="357">
        <f t="shared" si="48"/>
        <v>2727.2727272727275</v>
      </c>
      <c r="K91" s="183"/>
      <c r="L91" s="171"/>
      <c r="M91" s="1125">
        <v>2</v>
      </c>
      <c r="N91" s="58">
        <v>1</v>
      </c>
      <c r="O91" s="109">
        <f t="shared" ref="O91:O92" si="51">IF(M91,MIN(1,N91/M91),"")</f>
        <v>0.5</v>
      </c>
      <c r="P91" s="1341"/>
      <c r="Q91" s="1305"/>
      <c r="R91" s="677">
        <v>199480</v>
      </c>
      <c r="S91" s="676">
        <v>1562.4</v>
      </c>
    </row>
    <row r="92" spans="1:19" ht="30.65" customHeight="1">
      <c r="A92" s="1348"/>
      <c r="B92" s="167">
        <f t="shared" si="50"/>
        <v>144</v>
      </c>
      <c r="C92" s="170" t="s">
        <v>346</v>
      </c>
      <c r="D92" s="127" t="s">
        <v>78</v>
      </c>
      <c r="E92" s="61"/>
      <c r="F92" s="61"/>
      <c r="G92" s="61"/>
      <c r="H92" s="60"/>
      <c r="I92" s="356">
        <v>615.75</v>
      </c>
      <c r="J92" s="357">
        <f t="shared" si="48"/>
        <v>7389</v>
      </c>
      <c r="K92" s="184"/>
      <c r="L92" s="171"/>
      <c r="M92" s="1125">
        <v>12</v>
      </c>
      <c r="N92" s="58">
        <v>12</v>
      </c>
      <c r="O92" s="109">
        <f t="shared" si="51"/>
        <v>1</v>
      </c>
      <c r="P92" s="1341"/>
      <c r="Q92" s="1305"/>
      <c r="R92" s="677">
        <v>592314</v>
      </c>
      <c r="S92" s="676">
        <v>4639.24</v>
      </c>
    </row>
    <row r="93" spans="1:19">
      <c r="A93" s="1348"/>
      <c r="B93" s="65"/>
      <c r="C93" s="81"/>
      <c r="D93" s="120"/>
      <c r="E93" s="67"/>
      <c r="F93" s="67"/>
      <c r="G93" s="67"/>
      <c r="H93" s="66"/>
      <c r="I93" s="359"/>
      <c r="J93" s="358">
        <f>SUM(J89:J92)</f>
        <v>19570.818181818184</v>
      </c>
      <c r="K93" s="139"/>
      <c r="L93" s="111"/>
      <c r="M93" s="173">
        <f>SUM(M89:M92)</f>
        <v>17</v>
      </c>
      <c r="N93" s="68">
        <f>SUM(N89:N92)</f>
        <v>15</v>
      </c>
      <c r="O93" s="69">
        <f>IFERROR(AVERAGE(O89:O92),"")</f>
        <v>0.625</v>
      </c>
      <c r="P93" s="69">
        <f>IFERROR(AVERAGE(O85:O87,O89:O92),"")</f>
        <v>0.7</v>
      </c>
      <c r="Q93" s="69">
        <f>IFERROR(AVERAGE(O48:O53,O55:O58,O60:O65,O68:O71,O73:O77,O79:O82,O85:O87,O89:O92),"")</f>
        <v>0.70000000000000007</v>
      </c>
      <c r="R93" s="678">
        <f>SUM(R89:R92)</f>
        <v>1391794</v>
      </c>
      <c r="S93" s="70">
        <f>SUM(S89:S92)</f>
        <v>10901.08</v>
      </c>
    </row>
    <row r="94" spans="1:19" ht="93.75" customHeight="1">
      <c r="A94" s="339" t="s">
        <v>205</v>
      </c>
      <c r="B94" s="340"/>
      <c r="C94" s="340"/>
      <c r="D94" s="340"/>
      <c r="E94" s="340"/>
      <c r="F94" s="340"/>
      <c r="G94" s="340"/>
      <c r="H94" s="341"/>
      <c r="I94" s="388"/>
      <c r="J94" s="386">
        <f>J95+J106+J118</f>
        <v>90147.890909090929</v>
      </c>
      <c r="K94" s="342"/>
      <c r="L94" s="343"/>
      <c r="M94" s="344"/>
      <c r="N94" s="668"/>
      <c r="O94" s="669"/>
      <c r="P94" s="669"/>
      <c r="Q94" s="670"/>
      <c r="R94" s="350">
        <f t="shared" ref="R94:S94" si="52">R95+R106+R118</f>
        <v>5804547</v>
      </c>
      <c r="S94" s="348">
        <f t="shared" si="52"/>
        <v>45463.5</v>
      </c>
    </row>
    <row r="95" spans="1:19" ht="30.65" customHeight="1">
      <c r="A95" s="360" t="s">
        <v>347</v>
      </c>
      <c r="B95" s="361"/>
      <c r="C95" s="361"/>
      <c r="D95" s="362"/>
      <c r="E95" s="363" t="s">
        <v>248</v>
      </c>
      <c r="F95" s="364" t="s">
        <v>249</v>
      </c>
      <c r="G95" s="364" t="s">
        <v>250</v>
      </c>
      <c r="H95" s="365" t="s">
        <v>251</v>
      </c>
      <c r="I95" s="384"/>
      <c r="J95" s="385">
        <f>J99+J105</f>
        <v>36318.181818181823</v>
      </c>
      <c r="K95" s="366"/>
      <c r="L95" s="367"/>
      <c r="M95" s="368"/>
      <c r="N95" s="369"/>
      <c r="O95" s="370"/>
      <c r="P95" s="671"/>
      <c r="Q95" s="672"/>
      <c r="R95" s="373">
        <f t="shared" ref="R95:S95" si="53">R99+R105</f>
        <v>2997532</v>
      </c>
      <c r="S95" s="374">
        <f t="shared" si="53"/>
        <v>23477.85</v>
      </c>
    </row>
    <row r="96" spans="1:19" ht="30.65" customHeight="1">
      <c r="A96" s="1301" t="s">
        <v>348</v>
      </c>
      <c r="B96" s="167">
        <f>B92+1</f>
        <v>145</v>
      </c>
      <c r="C96" s="170" t="s">
        <v>349</v>
      </c>
      <c r="D96" s="176"/>
      <c r="E96" s="408"/>
      <c r="F96" s="408"/>
      <c r="G96" s="408"/>
      <c r="H96" s="408"/>
      <c r="I96" s="356">
        <v>909.09090909090912</v>
      </c>
      <c r="J96" s="357">
        <f t="shared" ref="J96:J98" si="54">I96*M96</f>
        <v>3636.3636363636365</v>
      </c>
      <c r="K96" s="182"/>
      <c r="L96" s="171" t="s">
        <v>524</v>
      </c>
      <c r="M96" s="1125">
        <v>4</v>
      </c>
      <c r="N96" s="58">
        <v>4</v>
      </c>
      <c r="O96" s="108">
        <f t="shared" ref="O96:O98" si="55">IF(M96,MIN(1,N96/M96),"")</f>
        <v>1</v>
      </c>
      <c r="P96" s="1336"/>
      <c r="Q96" s="1342"/>
      <c r="R96" s="677">
        <v>392074</v>
      </c>
      <c r="S96" s="676">
        <v>3070.88</v>
      </c>
    </row>
    <row r="97" spans="1:19" ht="30.65" customHeight="1">
      <c r="A97" s="1310"/>
      <c r="B97" s="167">
        <f>B96+1</f>
        <v>146</v>
      </c>
      <c r="C97" s="170" t="s">
        <v>350</v>
      </c>
      <c r="D97" s="177"/>
      <c r="E97" s="61"/>
      <c r="F97" s="408"/>
      <c r="G97" s="61"/>
      <c r="H97" s="60"/>
      <c r="I97" s="356">
        <v>2727.2727272727275</v>
      </c>
      <c r="J97" s="357">
        <f t="shared" si="54"/>
        <v>2727.2727272727275</v>
      </c>
      <c r="K97" s="183"/>
      <c r="L97" s="171" t="s">
        <v>525</v>
      </c>
      <c r="M97" s="1125">
        <v>1</v>
      </c>
      <c r="N97" s="58">
        <v>1</v>
      </c>
      <c r="O97" s="108">
        <f t="shared" si="55"/>
        <v>1</v>
      </c>
      <c r="P97" s="1337"/>
      <c r="Q97" s="1343"/>
      <c r="R97" s="677">
        <v>48740</v>
      </c>
      <c r="S97" s="676">
        <v>381.75</v>
      </c>
    </row>
    <row r="98" spans="1:19" ht="30.65" customHeight="1">
      <c r="A98" s="1310"/>
      <c r="B98" s="167">
        <f>B97+1</f>
        <v>147</v>
      </c>
      <c r="C98" s="170" t="s">
        <v>351</v>
      </c>
      <c r="D98" s="178"/>
      <c r="E98" s="408"/>
      <c r="F98" s="408"/>
      <c r="G98" s="408"/>
      <c r="H98" s="408"/>
      <c r="I98" s="356">
        <v>909.09090909090912</v>
      </c>
      <c r="J98" s="357">
        <f t="shared" si="54"/>
        <v>909.09090909090912</v>
      </c>
      <c r="K98" s="184"/>
      <c r="L98" s="171" t="s">
        <v>526</v>
      </c>
      <c r="M98" s="1125">
        <v>1</v>
      </c>
      <c r="N98" s="58">
        <v>1</v>
      </c>
      <c r="O98" s="108">
        <f t="shared" si="55"/>
        <v>1</v>
      </c>
      <c r="P98" s="1337"/>
      <c r="Q98" s="1343"/>
      <c r="R98" s="677">
        <v>97180</v>
      </c>
      <c r="S98" s="676">
        <v>761.15</v>
      </c>
    </row>
    <row r="99" spans="1:19">
      <c r="A99" s="1355"/>
      <c r="B99" s="65"/>
      <c r="C99" s="81"/>
      <c r="D99" s="120"/>
      <c r="E99" s="67"/>
      <c r="F99" s="67"/>
      <c r="G99" s="67"/>
      <c r="H99" s="66"/>
      <c r="I99" s="359"/>
      <c r="J99" s="358">
        <f>SUM(J96:J98)</f>
        <v>7272.727272727273</v>
      </c>
      <c r="K99" s="139"/>
      <c r="L99" s="111"/>
      <c r="M99" s="173">
        <f>SUM(M96:M98)</f>
        <v>6</v>
      </c>
      <c r="N99" s="68">
        <f>SUM(N96:N98)</f>
        <v>6</v>
      </c>
      <c r="O99" s="69">
        <f>IFERROR(AVERAGE(O96:O98),"")</f>
        <v>1</v>
      </c>
      <c r="P99" s="1337"/>
      <c r="Q99" s="1343"/>
      <c r="R99" s="678">
        <f>SUM(R96:R98)</f>
        <v>537994</v>
      </c>
      <c r="S99" s="70">
        <f>SUM(S96:S98)</f>
        <v>4213.78</v>
      </c>
    </row>
    <row r="100" spans="1:19" ht="31.5" customHeight="1">
      <c r="A100" s="1301" t="s">
        <v>352</v>
      </c>
      <c r="B100" s="167">
        <f>B98+1</f>
        <v>148</v>
      </c>
      <c r="C100" s="170" t="s">
        <v>353</v>
      </c>
      <c r="D100" s="176"/>
      <c r="E100" s="408"/>
      <c r="F100" s="408"/>
      <c r="G100" s="408"/>
      <c r="H100" s="60"/>
      <c r="I100" s="356">
        <v>1363.6363636363637</v>
      </c>
      <c r="J100" s="357">
        <f t="shared" ref="J100:J104" si="56">I100*M100</f>
        <v>13636.363636363638</v>
      </c>
      <c r="K100" s="182"/>
      <c r="L100" s="171" t="s">
        <v>527</v>
      </c>
      <c r="M100" s="1125">
        <v>10</v>
      </c>
      <c r="N100" s="58">
        <v>12</v>
      </c>
      <c r="O100" s="108">
        <f t="shared" ref="O100:O104" si="57">IF(M100,MIN(1,N100/M100),"")</f>
        <v>1</v>
      </c>
      <c r="P100" s="1337"/>
      <c r="Q100" s="1343"/>
      <c r="R100" s="677">
        <v>1446488</v>
      </c>
      <c r="S100" s="676">
        <v>11329.46</v>
      </c>
    </row>
    <row r="101" spans="1:19" ht="31.5" hidden="1" customHeight="1">
      <c r="A101" s="1302"/>
      <c r="B101" s="167"/>
      <c r="C101" s="170" t="s">
        <v>354</v>
      </c>
      <c r="D101" s="177"/>
      <c r="E101" s="61"/>
      <c r="F101" s="61"/>
      <c r="G101" s="61"/>
      <c r="H101" s="60"/>
      <c r="I101" s="356"/>
      <c r="J101" s="357">
        <f t="shared" si="56"/>
        <v>0</v>
      </c>
      <c r="K101" s="183"/>
      <c r="L101" s="171"/>
      <c r="M101" s="1125"/>
      <c r="N101" s="58"/>
      <c r="O101" s="108"/>
      <c r="P101" s="1337"/>
      <c r="Q101" s="1343"/>
      <c r="R101" s="677"/>
      <c r="S101" s="676"/>
    </row>
    <row r="102" spans="1:19" ht="31.5" customHeight="1">
      <c r="A102" s="1302"/>
      <c r="B102" s="167">
        <f>B100+1</f>
        <v>149</v>
      </c>
      <c r="C102" s="170" t="s">
        <v>355</v>
      </c>
      <c r="D102" s="177"/>
      <c r="E102" s="408"/>
      <c r="F102" s="408"/>
      <c r="G102" s="408"/>
      <c r="H102" s="408"/>
      <c r="I102" s="356">
        <v>1818.1818181818182</v>
      </c>
      <c r="J102" s="357">
        <f t="shared" si="56"/>
        <v>7272.727272727273</v>
      </c>
      <c r="K102" s="183"/>
      <c r="L102" s="171" t="s">
        <v>528</v>
      </c>
      <c r="M102" s="1125">
        <v>4</v>
      </c>
      <c r="N102" s="58">
        <v>4</v>
      </c>
      <c r="O102" s="108">
        <f t="shared" si="57"/>
        <v>1</v>
      </c>
      <c r="P102" s="1337"/>
      <c r="Q102" s="1343"/>
      <c r="R102" s="677">
        <v>727725</v>
      </c>
      <c r="S102" s="676">
        <v>5699.83</v>
      </c>
    </row>
    <row r="103" spans="1:19" ht="31.5" customHeight="1">
      <c r="A103" s="1310"/>
      <c r="B103" s="167">
        <f t="shared" ref="B103:B104" si="58">B102+1</f>
        <v>150</v>
      </c>
      <c r="C103" s="170" t="s">
        <v>356</v>
      </c>
      <c r="D103" s="177"/>
      <c r="E103" s="408"/>
      <c r="F103" s="408"/>
      <c r="G103" s="408"/>
      <c r="H103" s="60"/>
      <c r="I103" s="356">
        <v>3636.3636363636365</v>
      </c>
      <c r="J103" s="357">
        <f t="shared" si="56"/>
        <v>3636.3636363636365</v>
      </c>
      <c r="K103" s="183"/>
      <c r="L103" s="171" t="s">
        <v>529</v>
      </c>
      <c r="M103" s="1125">
        <v>1</v>
      </c>
      <c r="N103" s="58">
        <v>1</v>
      </c>
      <c r="O103" s="108">
        <f t="shared" si="57"/>
        <v>1</v>
      </c>
      <c r="P103" s="1337"/>
      <c r="Q103" s="1343"/>
      <c r="R103" s="677">
        <v>285325</v>
      </c>
      <c r="S103" s="676">
        <v>2234.7800000000002</v>
      </c>
    </row>
    <row r="104" spans="1:19" ht="31.5" customHeight="1">
      <c r="A104" s="1310"/>
      <c r="B104" s="167">
        <f t="shared" si="58"/>
        <v>151</v>
      </c>
      <c r="C104" s="170" t="s">
        <v>357</v>
      </c>
      <c r="D104" s="178"/>
      <c r="E104" s="408"/>
      <c r="F104" s="408"/>
      <c r="G104" s="61"/>
      <c r="H104" s="60"/>
      <c r="I104" s="356">
        <v>4500</v>
      </c>
      <c r="J104" s="357">
        <f t="shared" si="56"/>
        <v>4500</v>
      </c>
      <c r="K104" s="184"/>
      <c r="L104" s="171" t="s">
        <v>530</v>
      </c>
      <c r="M104" s="1125">
        <v>1</v>
      </c>
      <c r="N104" s="58">
        <v>0</v>
      </c>
      <c r="O104" s="108">
        <f t="shared" si="57"/>
        <v>0</v>
      </c>
      <c r="P104" s="1337"/>
      <c r="Q104" s="1343"/>
      <c r="R104" s="677">
        <v>0</v>
      </c>
      <c r="S104" s="676">
        <v>0</v>
      </c>
    </row>
    <row r="105" spans="1:19">
      <c r="A105" s="1355"/>
      <c r="B105" s="65"/>
      <c r="C105" s="81"/>
      <c r="D105" s="120"/>
      <c r="E105" s="67"/>
      <c r="F105" s="67"/>
      <c r="G105" s="67"/>
      <c r="H105" s="66"/>
      <c r="I105" s="359"/>
      <c r="J105" s="358">
        <f>SUM(J100:J104)</f>
        <v>29045.454545454548</v>
      </c>
      <c r="K105" s="139"/>
      <c r="L105" s="111"/>
      <c r="M105" s="173">
        <f>SUM(M100:M104)</f>
        <v>16</v>
      </c>
      <c r="N105" s="68">
        <f>SUM(N100:N104)</f>
        <v>17</v>
      </c>
      <c r="O105" s="69">
        <f>IFERROR(AVERAGE(O100:O104),"")</f>
        <v>0.75</v>
      </c>
      <c r="P105" s="69">
        <f>IFERROR(AVERAGE(O96:O98,O100:O104),"")</f>
        <v>0.8571428571428571</v>
      </c>
      <c r="Q105" s="1343"/>
      <c r="R105" s="678">
        <f>SUM(R100:R104)</f>
        <v>2459538</v>
      </c>
      <c r="S105" s="70">
        <f>SUM(S100:S104)</f>
        <v>19264.07</v>
      </c>
    </row>
    <row r="106" spans="1:19" ht="30.65" customHeight="1">
      <c r="A106" s="360" t="s">
        <v>358</v>
      </c>
      <c r="B106" s="361"/>
      <c r="C106" s="361"/>
      <c r="D106" s="362"/>
      <c r="E106" s="363" t="s">
        <v>248</v>
      </c>
      <c r="F106" s="364" t="s">
        <v>249</v>
      </c>
      <c r="G106" s="364" t="s">
        <v>250</v>
      </c>
      <c r="H106" s="365" t="s">
        <v>251</v>
      </c>
      <c r="I106" s="384"/>
      <c r="J106" s="385">
        <f>J117</f>
        <v>31227.272727272728</v>
      </c>
      <c r="K106" s="366"/>
      <c r="L106" s="367"/>
      <c r="M106" s="368"/>
      <c r="N106" s="369"/>
      <c r="O106" s="370"/>
      <c r="P106" s="371"/>
      <c r="Q106" s="1343"/>
      <c r="R106" s="373">
        <f t="shared" ref="R106:S106" si="59">R117</f>
        <v>1029528</v>
      </c>
      <c r="S106" s="374">
        <f t="shared" si="59"/>
        <v>8063.67</v>
      </c>
    </row>
    <row r="107" spans="1:19" ht="30.65" hidden="1" customHeight="1">
      <c r="A107" s="1301" t="s">
        <v>359</v>
      </c>
      <c r="B107" s="167"/>
      <c r="C107" s="170" t="s">
        <v>360</v>
      </c>
      <c r="D107" s="176"/>
      <c r="E107" s="61"/>
      <c r="F107" s="61"/>
      <c r="G107" s="61"/>
      <c r="H107" s="60"/>
      <c r="I107" s="356"/>
      <c r="J107" s="357">
        <f t="shared" ref="J107:J116" si="60">I107*M107</f>
        <v>0</v>
      </c>
      <c r="K107" s="182"/>
      <c r="L107" s="171"/>
      <c r="M107" s="1125"/>
      <c r="N107" s="58"/>
      <c r="O107" s="108" t="str">
        <f t="shared" ref="O107:O116" si="61">IF(M107,MIN(1,N107/M107),"")</f>
        <v/>
      </c>
      <c r="P107" s="1345"/>
      <c r="Q107" s="1343"/>
      <c r="R107" s="165"/>
      <c r="S107" s="257"/>
    </row>
    <row r="108" spans="1:19" ht="30.65" customHeight="1">
      <c r="A108" s="1302"/>
      <c r="B108" s="167">
        <f>B104+1</f>
        <v>152</v>
      </c>
      <c r="C108" s="170" t="s">
        <v>361</v>
      </c>
      <c r="D108" s="177" t="s">
        <v>78</v>
      </c>
      <c r="E108" s="408"/>
      <c r="F108" s="408"/>
      <c r="G108" s="408"/>
      <c r="H108" s="408"/>
      <c r="I108" s="356">
        <v>454.54545454545456</v>
      </c>
      <c r="J108" s="357">
        <f t="shared" si="60"/>
        <v>2272.727272727273</v>
      </c>
      <c r="K108" s="183"/>
      <c r="L108" s="171" t="s">
        <v>531</v>
      </c>
      <c r="M108" s="1125">
        <v>5</v>
      </c>
      <c r="N108" s="58">
        <v>1</v>
      </c>
      <c r="O108" s="108">
        <f t="shared" si="61"/>
        <v>0.2</v>
      </c>
      <c r="P108" s="1305"/>
      <c r="Q108" s="1343"/>
      <c r="R108" s="677">
        <v>34300</v>
      </c>
      <c r="S108" s="676">
        <v>268.64999999999998</v>
      </c>
    </row>
    <row r="109" spans="1:19" ht="30.65" customHeight="1">
      <c r="A109" s="1302"/>
      <c r="B109" s="167">
        <f t="shared" ref="B109:B113" si="62">B108+1</f>
        <v>153</v>
      </c>
      <c r="C109" s="170" t="s">
        <v>362</v>
      </c>
      <c r="D109" s="177" t="s">
        <v>78</v>
      </c>
      <c r="E109" s="408"/>
      <c r="F109" s="408"/>
      <c r="G109" s="408"/>
      <c r="H109" s="408"/>
      <c r="I109" s="356">
        <v>1818.1818181818182</v>
      </c>
      <c r="J109" s="357">
        <f t="shared" si="60"/>
        <v>7272.727272727273</v>
      </c>
      <c r="K109" s="183"/>
      <c r="L109" s="171" t="s">
        <v>532</v>
      </c>
      <c r="M109" s="1125">
        <v>4</v>
      </c>
      <c r="N109" s="58">
        <v>2</v>
      </c>
      <c r="O109" s="108">
        <f t="shared" si="61"/>
        <v>0.5</v>
      </c>
      <c r="P109" s="1305"/>
      <c r="Q109" s="1343"/>
      <c r="R109" s="677">
        <v>394231</v>
      </c>
      <c r="S109" s="676">
        <v>3087.77</v>
      </c>
    </row>
    <row r="110" spans="1:19" ht="30.65" customHeight="1">
      <c r="A110" s="1302"/>
      <c r="B110" s="167">
        <f t="shared" si="62"/>
        <v>154</v>
      </c>
      <c r="C110" s="170" t="s">
        <v>363</v>
      </c>
      <c r="D110" s="177" t="s">
        <v>78</v>
      </c>
      <c r="E110" s="408"/>
      <c r="F110" s="408"/>
      <c r="G110" s="408"/>
      <c r="H110" s="408"/>
      <c r="I110" s="356">
        <v>1818.1818181818182</v>
      </c>
      <c r="J110" s="357">
        <f t="shared" si="60"/>
        <v>3636.3636363636365</v>
      </c>
      <c r="K110" s="183"/>
      <c r="L110" s="171" t="s">
        <v>533</v>
      </c>
      <c r="M110" s="1125">
        <v>2</v>
      </c>
      <c r="N110" s="58">
        <v>2</v>
      </c>
      <c r="O110" s="108">
        <f t="shared" si="61"/>
        <v>1</v>
      </c>
      <c r="P110" s="1305"/>
      <c r="Q110" s="1343"/>
      <c r="R110" s="677">
        <v>28680</v>
      </c>
      <c r="S110" s="676">
        <v>224.63</v>
      </c>
    </row>
    <row r="111" spans="1:19" ht="30.65" customHeight="1">
      <c r="A111" s="1302"/>
      <c r="B111" s="167">
        <f t="shared" si="62"/>
        <v>155</v>
      </c>
      <c r="C111" s="170" t="s">
        <v>364</v>
      </c>
      <c r="D111" s="177" t="s">
        <v>78</v>
      </c>
      <c r="E111" s="408"/>
      <c r="F111" s="408"/>
      <c r="G111" s="408"/>
      <c r="H111" s="408"/>
      <c r="I111" s="356">
        <v>2272.7272727272725</v>
      </c>
      <c r="J111" s="357">
        <f t="shared" si="60"/>
        <v>4545.454545454545</v>
      </c>
      <c r="K111" s="183"/>
      <c r="L111" s="171" t="s">
        <v>534</v>
      </c>
      <c r="M111" s="1125">
        <v>2</v>
      </c>
      <c r="N111" s="58">
        <v>1</v>
      </c>
      <c r="O111" s="108">
        <f t="shared" si="61"/>
        <v>0.5</v>
      </c>
      <c r="P111" s="1305"/>
      <c r="Q111" s="1343"/>
      <c r="R111" s="677">
        <v>41525</v>
      </c>
      <c r="S111" s="676">
        <v>325.24</v>
      </c>
    </row>
    <row r="112" spans="1:19" ht="30.65" customHeight="1">
      <c r="A112" s="1302"/>
      <c r="B112" s="167">
        <f t="shared" si="62"/>
        <v>156</v>
      </c>
      <c r="C112" s="170" t="s">
        <v>365</v>
      </c>
      <c r="D112" s="177" t="s">
        <v>78</v>
      </c>
      <c r="E112" s="61"/>
      <c r="F112" s="408"/>
      <c r="G112" s="408"/>
      <c r="H112" s="60"/>
      <c r="I112" s="356">
        <v>3636.3636363636365</v>
      </c>
      <c r="J112" s="357">
        <f t="shared" si="60"/>
        <v>3636.3636363636365</v>
      </c>
      <c r="K112" s="183"/>
      <c r="L112" s="171" t="s">
        <v>488</v>
      </c>
      <c r="M112" s="1125">
        <v>1</v>
      </c>
      <c r="N112" s="58">
        <v>1</v>
      </c>
      <c r="O112" s="108">
        <f t="shared" si="61"/>
        <v>1</v>
      </c>
      <c r="P112" s="1305"/>
      <c r="Q112" s="1343"/>
      <c r="R112" s="677">
        <v>310639</v>
      </c>
      <c r="S112" s="676">
        <v>2433.0500000000002</v>
      </c>
    </row>
    <row r="113" spans="1:19" ht="30.65" customHeight="1">
      <c r="A113" s="1302"/>
      <c r="B113" s="167">
        <f t="shared" si="62"/>
        <v>157</v>
      </c>
      <c r="C113" s="170" t="s">
        <v>366</v>
      </c>
      <c r="D113" s="177" t="s">
        <v>78</v>
      </c>
      <c r="E113" s="408"/>
      <c r="F113" s="408"/>
      <c r="G113" s="408"/>
      <c r="H113" s="408"/>
      <c r="I113" s="356">
        <v>3500</v>
      </c>
      <c r="J113" s="357">
        <f t="shared" si="60"/>
        <v>3500</v>
      </c>
      <c r="K113" s="183"/>
      <c r="L113" s="680" t="s">
        <v>535</v>
      </c>
      <c r="M113" s="1125">
        <v>1</v>
      </c>
      <c r="N113" s="58">
        <v>1</v>
      </c>
      <c r="O113" s="108">
        <f t="shared" si="61"/>
        <v>1</v>
      </c>
      <c r="P113" s="1305"/>
      <c r="Q113" s="1343"/>
      <c r="R113" s="677">
        <v>220153</v>
      </c>
      <c r="S113" s="676">
        <v>1724.33</v>
      </c>
    </row>
    <row r="114" spans="1:19" ht="30.65" hidden="1" customHeight="1">
      <c r="A114" s="1302"/>
      <c r="B114" s="167"/>
      <c r="C114" s="170" t="s">
        <v>367</v>
      </c>
      <c r="D114" s="177" t="s">
        <v>78</v>
      </c>
      <c r="E114" s="61"/>
      <c r="F114" s="61"/>
      <c r="G114" s="61"/>
      <c r="H114" s="60"/>
      <c r="I114" s="356"/>
      <c r="J114" s="357">
        <f t="shared" si="60"/>
        <v>0</v>
      </c>
      <c r="K114" s="183"/>
      <c r="L114" s="171"/>
      <c r="M114" s="1125"/>
      <c r="N114" s="58"/>
      <c r="O114" s="108" t="str">
        <f t="shared" si="61"/>
        <v/>
      </c>
      <c r="P114" s="1305"/>
      <c r="Q114" s="1343"/>
      <c r="R114" s="677"/>
      <c r="S114" s="676"/>
    </row>
    <row r="115" spans="1:19" ht="30.65" hidden="1" customHeight="1">
      <c r="A115" s="1310"/>
      <c r="B115" s="167"/>
      <c r="C115" s="170" t="s">
        <v>368</v>
      </c>
      <c r="D115" s="177" t="s">
        <v>78</v>
      </c>
      <c r="E115" s="61"/>
      <c r="F115" s="61"/>
      <c r="G115" s="61"/>
      <c r="H115" s="60"/>
      <c r="I115" s="356"/>
      <c r="J115" s="357">
        <f t="shared" si="60"/>
        <v>0</v>
      </c>
      <c r="K115" s="183"/>
      <c r="L115" s="171"/>
      <c r="M115" s="1125"/>
      <c r="N115" s="58"/>
      <c r="O115" s="108" t="str">
        <f t="shared" si="61"/>
        <v/>
      </c>
      <c r="P115" s="1305"/>
      <c r="Q115" s="1343"/>
      <c r="R115" s="677"/>
      <c r="S115" s="676"/>
    </row>
    <row r="116" spans="1:19" ht="30.65" customHeight="1">
      <c r="A116" s="1310"/>
      <c r="B116" s="167">
        <v>160</v>
      </c>
      <c r="C116" s="170" t="s">
        <v>369</v>
      </c>
      <c r="D116" s="178" t="s">
        <v>78</v>
      </c>
      <c r="E116" s="61"/>
      <c r="F116" s="61"/>
      <c r="G116" s="408"/>
      <c r="H116" s="408"/>
      <c r="I116" s="356">
        <v>6363.636363636364</v>
      </c>
      <c r="J116" s="357">
        <f t="shared" si="60"/>
        <v>6363.636363636364</v>
      </c>
      <c r="K116" s="184"/>
      <c r="L116" s="171"/>
      <c r="M116" s="1125">
        <v>1</v>
      </c>
      <c r="N116" s="58">
        <v>1</v>
      </c>
      <c r="O116" s="108">
        <f t="shared" si="61"/>
        <v>1</v>
      </c>
      <c r="P116" s="1346"/>
      <c r="Q116" s="1343"/>
      <c r="R116" s="677">
        <v>0</v>
      </c>
      <c r="S116" s="676">
        <v>0</v>
      </c>
    </row>
    <row r="117" spans="1:19">
      <c r="A117" s="1355"/>
      <c r="B117" s="65"/>
      <c r="C117" s="81"/>
      <c r="D117" s="120"/>
      <c r="E117" s="67"/>
      <c r="F117" s="67"/>
      <c r="G117" s="67"/>
      <c r="H117" s="66"/>
      <c r="I117" s="359"/>
      <c r="J117" s="358">
        <f>SUM(J107:J116)</f>
        <v>31227.272727272728</v>
      </c>
      <c r="K117" s="139"/>
      <c r="L117" s="111"/>
      <c r="M117" s="173">
        <f>SUM(M107:M116)</f>
        <v>16</v>
      </c>
      <c r="N117" s="68">
        <f>SUM(N107:N116)</f>
        <v>9</v>
      </c>
      <c r="O117" s="69">
        <f>IFERROR(AVERAGE(O107:O116),"")</f>
        <v>0.74285714285714288</v>
      </c>
      <c r="P117" s="69">
        <f>IFERROR(AVERAGE(O107:O116),"")</f>
        <v>0.74285714285714288</v>
      </c>
      <c r="Q117" s="1343"/>
      <c r="R117" s="678">
        <f>SUM(R107:R116)</f>
        <v>1029528</v>
      </c>
      <c r="S117" s="70">
        <f>SUM(S107:S116)</f>
        <v>8063.67</v>
      </c>
    </row>
    <row r="118" spans="1:19" ht="30.65" customHeight="1">
      <c r="A118" s="360" t="s">
        <v>370</v>
      </c>
      <c r="B118" s="361"/>
      <c r="C118" s="361"/>
      <c r="D118" s="362"/>
      <c r="E118" s="363" t="s">
        <v>248</v>
      </c>
      <c r="F118" s="364" t="s">
        <v>249</v>
      </c>
      <c r="G118" s="364" t="s">
        <v>250</v>
      </c>
      <c r="H118" s="365" t="s">
        <v>251</v>
      </c>
      <c r="I118" s="384"/>
      <c r="J118" s="385">
        <f>J126</f>
        <v>22602.436363636363</v>
      </c>
      <c r="K118" s="366"/>
      <c r="L118" s="367"/>
      <c r="M118" s="368"/>
      <c r="N118" s="369"/>
      <c r="O118" s="370"/>
      <c r="P118" s="371"/>
      <c r="Q118" s="1343"/>
      <c r="R118" s="373">
        <f t="shared" ref="R118:S118" si="63">R126</f>
        <v>1777487</v>
      </c>
      <c r="S118" s="374">
        <f t="shared" si="63"/>
        <v>13921.98</v>
      </c>
    </row>
    <row r="119" spans="1:19" ht="30.65" hidden="1" customHeight="1">
      <c r="A119" s="1301" t="s">
        <v>371</v>
      </c>
      <c r="B119" s="167"/>
      <c r="C119" s="170" t="s">
        <v>372</v>
      </c>
      <c r="D119" s="176" t="s">
        <v>78</v>
      </c>
      <c r="E119" s="61"/>
      <c r="F119" s="61"/>
      <c r="G119" s="61"/>
      <c r="H119" s="60"/>
      <c r="I119" s="356"/>
      <c r="J119" s="357">
        <f t="shared" ref="J119:J125" si="64">I119*M119</f>
        <v>0</v>
      </c>
      <c r="K119" s="182"/>
      <c r="L119" s="171"/>
      <c r="M119" s="1125"/>
      <c r="N119" s="58"/>
      <c r="O119" s="108" t="str">
        <f t="shared" ref="O119" si="65">IF(M119,MIN(1,N119/M119),"")</f>
        <v/>
      </c>
      <c r="P119" s="1345"/>
      <c r="Q119" s="1343"/>
      <c r="R119" s="165"/>
      <c r="S119" s="257"/>
    </row>
    <row r="120" spans="1:19" ht="30.65" hidden="1" customHeight="1">
      <c r="A120" s="1302"/>
      <c r="B120" s="167"/>
      <c r="C120" s="170" t="s">
        <v>373</v>
      </c>
      <c r="D120" s="186" t="s">
        <v>78</v>
      </c>
      <c r="E120" s="61"/>
      <c r="F120" s="61"/>
      <c r="G120" s="61"/>
      <c r="H120" s="60"/>
      <c r="I120" s="356">
        <v>0</v>
      </c>
      <c r="J120" s="357">
        <f t="shared" si="64"/>
        <v>0</v>
      </c>
      <c r="K120" s="183"/>
      <c r="L120" s="171"/>
      <c r="M120" s="1125"/>
      <c r="N120" s="58"/>
      <c r="O120" s="108"/>
      <c r="P120" s="1305"/>
      <c r="Q120" s="1343"/>
      <c r="R120" s="165"/>
      <c r="S120" s="257"/>
    </row>
    <row r="121" spans="1:19" ht="30.65" customHeight="1">
      <c r="A121" s="1302"/>
      <c r="B121" s="167">
        <v>161</v>
      </c>
      <c r="C121" s="170" t="s">
        <v>374</v>
      </c>
      <c r="D121" s="186" t="s">
        <v>78</v>
      </c>
      <c r="E121" s="408"/>
      <c r="F121" s="408"/>
      <c r="G121" s="408"/>
      <c r="H121" s="408"/>
      <c r="I121" s="356">
        <v>4500</v>
      </c>
      <c r="J121" s="357">
        <f t="shared" si="64"/>
        <v>4500</v>
      </c>
      <c r="K121" s="183"/>
      <c r="L121" s="171" t="s">
        <v>536</v>
      </c>
      <c r="M121" s="1125">
        <v>1</v>
      </c>
      <c r="N121" s="675">
        <v>1</v>
      </c>
      <c r="O121" s="108">
        <f t="shared" ref="O121:O124" si="66">IF(M121,MIN(1,N121/M121),"")</f>
        <v>1</v>
      </c>
      <c r="P121" s="1305"/>
      <c r="Q121" s="1343"/>
      <c r="R121" s="677">
        <v>173778</v>
      </c>
      <c r="S121" s="676">
        <v>1361.1</v>
      </c>
    </row>
    <row r="122" spans="1:19" ht="30.65" hidden="1" customHeight="1">
      <c r="A122" s="1302"/>
      <c r="B122" s="167"/>
      <c r="C122" s="170" t="s">
        <v>375</v>
      </c>
      <c r="D122" s="186" t="s">
        <v>78</v>
      </c>
      <c r="E122" s="61"/>
      <c r="F122" s="61"/>
      <c r="G122" s="61"/>
      <c r="H122" s="60"/>
      <c r="I122" s="356">
        <v>0</v>
      </c>
      <c r="J122" s="357">
        <f t="shared" si="64"/>
        <v>0</v>
      </c>
      <c r="K122" s="183"/>
      <c r="L122" s="171"/>
      <c r="M122" s="1125"/>
      <c r="N122" s="675"/>
      <c r="O122" s="108" t="str">
        <f t="shared" si="66"/>
        <v/>
      </c>
      <c r="P122" s="1305"/>
      <c r="Q122" s="1343"/>
      <c r="R122" s="677"/>
      <c r="S122" s="676"/>
    </row>
    <row r="123" spans="1:19" ht="30.65" hidden="1" customHeight="1">
      <c r="A123" s="1302"/>
      <c r="B123" s="167"/>
      <c r="C123" s="170" t="s">
        <v>376</v>
      </c>
      <c r="D123" s="186" t="s">
        <v>78</v>
      </c>
      <c r="E123" s="61"/>
      <c r="F123" s="61"/>
      <c r="G123" s="61"/>
      <c r="H123" s="60"/>
      <c r="I123" s="356">
        <v>0</v>
      </c>
      <c r="J123" s="357">
        <f t="shared" si="64"/>
        <v>0</v>
      </c>
      <c r="K123" s="183"/>
      <c r="L123" s="171"/>
      <c r="M123" s="1125"/>
      <c r="N123" s="675"/>
      <c r="O123" s="108" t="str">
        <f t="shared" si="66"/>
        <v/>
      </c>
      <c r="P123" s="1305"/>
      <c r="Q123" s="1343"/>
      <c r="R123" s="677"/>
      <c r="S123" s="676"/>
    </row>
    <row r="124" spans="1:19" ht="30.65" customHeight="1">
      <c r="A124" s="1302"/>
      <c r="B124" s="167">
        <v>162</v>
      </c>
      <c r="C124" s="170" t="s">
        <v>377</v>
      </c>
      <c r="D124" s="186" t="s">
        <v>78</v>
      </c>
      <c r="E124" s="408"/>
      <c r="F124" s="408"/>
      <c r="G124" s="408"/>
      <c r="H124" s="408"/>
      <c r="I124" s="356">
        <v>1508.5363636363636</v>
      </c>
      <c r="J124" s="357">
        <f t="shared" si="64"/>
        <v>18102.436363636363</v>
      </c>
      <c r="K124" s="183"/>
      <c r="L124" s="171" t="s">
        <v>537</v>
      </c>
      <c r="M124" s="1125">
        <v>12</v>
      </c>
      <c r="N124" s="675">
        <v>12</v>
      </c>
      <c r="O124" s="108">
        <f t="shared" si="66"/>
        <v>1</v>
      </c>
      <c r="P124" s="1305"/>
      <c r="Q124" s="1343"/>
      <c r="R124" s="677">
        <v>1603709</v>
      </c>
      <c r="S124" s="676">
        <v>12560.88</v>
      </c>
    </row>
    <row r="125" spans="1:19" ht="30.65" hidden="1" customHeight="1">
      <c r="A125" s="1302"/>
      <c r="B125" s="167"/>
      <c r="C125" s="170" t="s">
        <v>378</v>
      </c>
      <c r="D125" s="186" t="s">
        <v>78</v>
      </c>
      <c r="E125" s="61"/>
      <c r="F125" s="61"/>
      <c r="G125" s="61"/>
      <c r="H125" s="60"/>
      <c r="I125" s="356">
        <v>0</v>
      </c>
      <c r="J125" s="357">
        <f t="shared" si="64"/>
        <v>0</v>
      </c>
      <c r="K125" s="183"/>
      <c r="L125" s="171"/>
      <c r="M125" s="1125"/>
      <c r="N125" s="58"/>
      <c r="O125" s="108"/>
      <c r="P125" s="1346"/>
      <c r="Q125" s="1344"/>
      <c r="R125" s="165"/>
      <c r="S125" s="257"/>
    </row>
    <row r="126" spans="1:19">
      <c r="A126" s="1355"/>
      <c r="B126" s="65"/>
      <c r="C126" s="81"/>
      <c r="D126" s="120"/>
      <c r="E126" s="67"/>
      <c r="F126" s="67"/>
      <c r="G126" s="67"/>
      <c r="H126" s="66"/>
      <c r="I126" s="359">
        <f>SUM(I119:I125)</f>
        <v>6008.5363636363636</v>
      </c>
      <c r="J126" s="358">
        <f>SUM(J119:J125)</f>
        <v>22602.436363636363</v>
      </c>
      <c r="K126" s="139"/>
      <c r="L126" s="111"/>
      <c r="M126" s="173">
        <f>SUM(M119:M125)</f>
        <v>13</v>
      </c>
      <c r="N126" s="68">
        <f>SUM(N119:N125)</f>
        <v>13</v>
      </c>
      <c r="O126" s="69">
        <f>IFERROR(AVERAGE(O119:O125),"")</f>
        <v>1</v>
      </c>
      <c r="P126" s="69">
        <f>IFERROR(AVERAGE(O119:O125),"")</f>
        <v>1</v>
      </c>
      <c r="Q126" s="69">
        <f>IFERROR(AVERAGE(O96:O98,O100:O104,O107:O116,O119:O125),"")</f>
        <v>0.82499999999999996</v>
      </c>
      <c r="R126" s="678">
        <f>SUM(R119:R125)</f>
        <v>1777487</v>
      </c>
      <c r="S126" s="70">
        <f>SUM(S119:S125)</f>
        <v>13921.98</v>
      </c>
    </row>
    <row r="127" spans="1:19" ht="36.75" customHeight="1">
      <c r="A127" s="83" t="s">
        <v>379</v>
      </c>
      <c r="B127" s="83"/>
      <c r="C127" s="84"/>
      <c r="D127" s="84"/>
      <c r="E127" s="85"/>
      <c r="F127" s="85"/>
      <c r="G127" s="85"/>
      <c r="H127" s="86"/>
      <c r="I127" s="85"/>
      <c r="J127" s="87">
        <f>J128+J144+J164</f>
        <v>424143.40909090906</v>
      </c>
      <c r="K127" s="136"/>
      <c r="L127" s="114"/>
      <c r="M127" s="89"/>
      <c r="N127" s="90"/>
      <c r="O127" s="88"/>
      <c r="P127" s="88"/>
      <c r="Q127" s="91"/>
      <c r="R127" s="349">
        <f>R128+R144+R164</f>
        <v>2641358.2999999998</v>
      </c>
      <c r="S127" s="82">
        <f>S128+S144+S164</f>
        <v>20688.150000000001</v>
      </c>
    </row>
    <row r="128" spans="1:19" ht="30.65" customHeight="1">
      <c r="A128" s="277" t="s">
        <v>380</v>
      </c>
      <c r="B128" s="278"/>
      <c r="C128" s="278"/>
      <c r="D128" s="276"/>
      <c r="E128" s="250" t="s">
        <v>248</v>
      </c>
      <c r="F128" s="251" t="s">
        <v>249</v>
      </c>
      <c r="G128" s="251" t="s">
        <v>250</v>
      </c>
      <c r="H128" s="252" t="s">
        <v>251</v>
      </c>
      <c r="I128" s="382"/>
      <c r="J128" s="253">
        <f>J143</f>
        <v>43857.909090909088</v>
      </c>
      <c r="K128" s="254"/>
      <c r="L128" s="259"/>
      <c r="M128" s="261"/>
      <c r="N128" s="262"/>
      <c r="O128" s="255"/>
      <c r="P128" s="282"/>
      <c r="Q128" s="283"/>
      <c r="R128" s="351">
        <f t="shared" ref="R128:S128" si="67">R143</f>
        <v>1609588.3</v>
      </c>
      <c r="S128" s="256">
        <f t="shared" si="67"/>
        <v>12606.930000000002</v>
      </c>
    </row>
    <row r="129" spans="1:19" ht="30.65" customHeight="1">
      <c r="A129" s="1349" t="s">
        <v>381</v>
      </c>
      <c r="B129" s="167" t="s">
        <v>382</v>
      </c>
      <c r="C129" s="185" t="s">
        <v>538</v>
      </c>
      <c r="D129" s="186" t="s">
        <v>78</v>
      </c>
      <c r="E129" s="408"/>
      <c r="F129" s="408"/>
      <c r="G129" s="408"/>
      <c r="H129" s="408"/>
      <c r="I129" s="356">
        <v>318</v>
      </c>
      <c r="J129" s="357">
        <f t="shared" ref="J129:J142" si="68">I129*M129</f>
        <v>3816</v>
      </c>
      <c r="K129" s="182"/>
      <c r="L129" s="1127" t="s">
        <v>539</v>
      </c>
      <c r="M129" s="1128">
        <v>12</v>
      </c>
      <c r="N129" s="58"/>
      <c r="O129" s="420"/>
      <c r="P129" s="420"/>
      <c r="Q129" s="420"/>
      <c r="R129" s="677">
        <v>38010</v>
      </c>
      <c r="S129" s="676">
        <v>297.70999999999998</v>
      </c>
    </row>
    <row r="130" spans="1:19" ht="30.65" customHeight="1">
      <c r="A130" s="1360"/>
      <c r="B130" s="167" t="s">
        <v>382</v>
      </c>
      <c r="C130" s="185" t="s">
        <v>540</v>
      </c>
      <c r="D130" s="186" t="s">
        <v>78</v>
      </c>
      <c r="E130" s="408"/>
      <c r="F130" s="408"/>
      <c r="G130" s="408"/>
      <c r="H130" s="408"/>
      <c r="I130" s="356">
        <v>91</v>
      </c>
      <c r="J130" s="357">
        <f t="shared" si="68"/>
        <v>1092</v>
      </c>
      <c r="K130" s="183"/>
      <c r="L130" s="1127"/>
      <c r="M130" s="1128">
        <v>12</v>
      </c>
      <c r="N130" s="58"/>
      <c r="O130" s="420"/>
      <c r="P130" s="420"/>
      <c r="Q130" s="420"/>
      <c r="R130" s="677">
        <v>71352</v>
      </c>
      <c r="S130" s="676">
        <v>558.86</v>
      </c>
    </row>
    <row r="131" spans="1:19" ht="30.65" customHeight="1">
      <c r="A131" s="1360"/>
      <c r="B131" s="167" t="s">
        <v>382</v>
      </c>
      <c r="C131" s="185" t="s">
        <v>541</v>
      </c>
      <c r="D131" s="186" t="s">
        <v>78</v>
      </c>
      <c r="E131" s="408"/>
      <c r="F131" s="408"/>
      <c r="G131" s="408"/>
      <c r="H131" s="408"/>
      <c r="I131" s="356">
        <v>1363.6363636363637</v>
      </c>
      <c r="J131" s="357">
        <f t="shared" si="68"/>
        <v>1363.6363636363637</v>
      </c>
      <c r="K131" s="183"/>
      <c r="L131" s="1127"/>
      <c r="M131" s="1128">
        <v>1</v>
      </c>
      <c r="N131" s="58"/>
      <c r="O131" s="420"/>
      <c r="P131" s="420"/>
      <c r="Q131" s="420"/>
      <c r="R131" s="677">
        <v>82343</v>
      </c>
      <c r="S131" s="676">
        <v>644.94000000000005</v>
      </c>
    </row>
    <row r="132" spans="1:19" ht="30.65" customHeight="1">
      <c r="A132" s="1350"/>
      <c r="B132" s="167" t="s">
        <v>382</v>
      </c>
      <c r="C132" s="185" t="s">
        <v>384</v>
      </c>
      <c r="D132" s="186" t="s">
        <v>78</v>
      </c>
      <c r="E132" s="408"/>
      <c r="F132" s="408"/>
      <c r="G132" s="408"/>
      <c r="H132" s="408"/>
      <c r="I132" s="356">
        <v>182</v>
      </c>
      <c r="J132" s="357">
        <f t="shared" si="68"/>
        <v>2184</v>
      </c>
      <c r="K132" s="183"/>
      <c r="L132" s="1127" t="s">
        <v>539</v>
      </c>
      <c r="M132" s="1128">
        <v>12</v>
      </c>
      <c r="N132" s="58"/>
      <c r="O132" s="420"/>
      <c r="P132" s="420"/>
      <c r="Q132" s="420"/>
      <c r="R132" s="677">
        <v>196087</v>
      </c>
      <c r="S132" s="676">
        <v>1535.83</v>
      </c>
    </row>
    <row r="133" spans="1:19" ht="30.65" customHeight="1">
      <c r="A133" s="1350"/>
      <c r="B133" s="167" t="s">
        <v>382</v>
      </c>
      <c r="C133" s="185" t="s">
        <v>385</v>
      </c>
      <c r="D133" s="186" t="s">
        <v>78</v>
      </c>
      <c r="E133" s="408"/>
      <c r="F133" s="408"/>
      <c r="G133" s="408"/>
      <c r="H133" s="408"/>
      <c r="I133" s="356">
        <v>45</v>
      </c>
      <c r="J133" s="357">
        <f t="shared" si="68"/>
        <v>540</v>
      </c>
      <c r="K133" s="183"/>
      <c r="L133" s="1127" t="s">
        <v>539</v>
      </c>
      <c r="M133" s="1128">
        <v>12</v>
      </c>
      <c r="N133" s="58"/>
      <c r="O133" s="420"/>
      <c r="P133" s="420"/>
      <c r="Q133" s="420"/>
      <c r="R133" s="677">
        <v>0</v>
      </c>
      <c r="S133" s="676">
        <v>0</v>
      </c>
    </row>
    <row r="134" spans="1:19" ht="30.65" customHeight="1">
      <c r="A134" s="1350"/>
      <c r="B134" s="167" t="s">
        <v>382</v>
      </c>
      <c r="C134" s="185" t="s">
        <v>386</v>
      </c>
      <c r="D134" s="186" t="s">
        <v>78</v>
      </c>
      <c r="E134" s="408"/>
      <c r="F134" s="408"/>
      <c r="G134" s="408"/>
      <c r="H134" s="408"/>
      <c r="I134" s="356">
        <v>318</v>
      </c>
      <c r="J134" s="357">
        <f t="shared" si="68"/>
        <v>3816</v>
      </c>
      <c r="K134" s="183"/>
      <c r="L134" s="1127" t="s">
        <v>539</v>
      </c>
      <c r="M134" s="1128">
        <v>12</v>
      </c>
      <c r="N134" s="58"/>
      <c r="O134" s="420"/>
      <c r="P134" s="420"/>
      <c r="Q134" s="420"/>
      <c r="R134" s="677">
        <v>226762</v>
      </c>
      <c r="S134" s="676">
        <v>1776.09</v>
      </c>
    </row>
    <row r="135" spans="1:19" ht="30.65" customHeight="1">
      <c r="A135" s="1350"/>
      <c r="B135" s="167" t="s">
        <v>382</v>
      </c>
      <c r="C135" s="185" t="s">
        <v>387</v>
      </c>
      <c r="D135" s="186" t="s">
        <v>78</v>
      </c>
      <c r="E135" s="408"/>
      <c r="F135" s="408"/>
      <c r="G135" s="408"/>
      <c r="H135" s="408"/>
      <c r="I135" s="356">
        <v>409</v>
      </c>
      <c r="J135" s="357">
        <f t="shared" si="68"/>
        <v>4908</v>
      </c>
      <c r="K135" s="183"/>
      <c r="L135" s="1127" t="s">
        <v>539</v>
      </c>
      <c r="M135" s="1128">
        <v>12</v>
      </c>
      <c r="N135" s="58"/>
      <c r="O135" s="420"/>
      <c r="P135" s="420"/>
      <c r="Q135" s="420"/>
      <c r="R135" s="677">
        <v>278749</v>
      </c>
      <c r="S135" s="676">
        <v>2183.27</v>
      </c>
    </row>
    <row r="136" spans="1:19" ht="30.65" customHeight="1">
      <c r="A136" s="1350"/>
      <c r="B136" s="167" t="s">
        <v>382</v>
      </c>
      <c r="C136" s="185" t="s">
        <v>388</v>
      </c>
      <c r="D136" s="186" t="s">
        <v>78</v>
      </c>
      <c r="E136" s="408"/>
      <c r="F136" s="408"/>
      <c r="G136" s="408"/>
      <c r="H136" s="408"/>
      <c r="I136" s="356">
        <v>22.727272727272727</v>
      </c>
      <c r="J136" s="357">
        <f t="shared" si="68"/>
        <v>272.72727272727275</v>
      </c>
      <c r="K136" s="183"/>
      <c r="L136" s="1127" t="s">
        <v>539</v>
      </c>
      <c r="M136" s="1128">
        <v>12</v>
      </c>
      <c r="N136" s="58"/>
      <c r="O136" s="420"/>
      <c r="P136" s="420"/>
      <c r="Q136" s="420"/>
      <c r="R136" s="677">
        <v>335</v>
      </c>
      <c r="S136" s="676">
        <v>2.62</v>
      </c>
    </row>
    <row r="137" spans="1:19" ht="30.65" customHeight="1">
      <c r="A137" s="1350"/>
      <c r="B137" s="167" t="s">
        <v>382</v>
      </c>
      <c r="C137" s="185" t="s">
        <v>389</v>
      </c>
      <c r="D137" s="186" t="s">
        <v>78</v>
      </c>
      <c r="E137" s="408"/>
      <c r="F137" s="408"/>
      <c r="G137" s="408"/>
      <c r="H137" s="408"/>
      <c r="I137" s="356">
        <v>90.909090909090907</v>
      </c>
      <c r="J137" s="357">
        <f t="shared" si="68"/>
        <v>1090.909090909091</v>
      </c>
      <c r="K137" s="183"/>
      <c r="L137" s="1127" t="s">
        <v>539</v>
      </c>
      <c r="M137" s="1128">
        <v>12</v>
      </c>
      <c r="N137" s="58"/>
      <c r="O137" s="420"/>
      <c r="P137" s="420"/>
      <c r="Q137" s="420"/>
      <c r="R137" s="677">
        <v>27053</v>
      </c>
      <c r="S137" s="676">
        <v>211.89</v>
      </c>
    </row>
    <row r="138" spans="1:19" ht="30.65" customHeight="1">
      <c r="A138" s="1350"/>
      <c r="B138" s="167" t="s">
        <v>382</v>
      </c>
      <c r="C138" s="185" t="s">
        <v>390</v>
      </c>
      <c r="D138" s="186" t="s">
        <v>78</v>
      </c>
      <c r="E138" s="408"/>
      <c r="F138" s="408"/>
      <c r="G138" s="408"/>
      <c r="H138" s="408"/>
      <c r="I138" s="356">
        <v>318.18181818181819</v>
      </c>
      <c r="J138" s="357">
        <f t="shared" si="68"/>
        <v>3818.181818181818</v>
      </c>
      <c r="K138" s="183"/>
      <c r="L138" s="1127" t="s">
        <v>539</v>
      </c>
      <c r="M138" s="1128">
        <v>12</v>
      </c>
      <c r="N138" s="58"/>
      <c r="O138" s="420"/>
      <c r="P138" s="420"/>
      <c r="Q138" s="420"/>
      <c r="R138" s="677">
        <v>78339</v>
      </c>
      <c r="S138" s="676">
        <v>613.58000000000004</v>
      </c>
    </row>
    <row r="139" spans="1:19" ht="30.65" customHeight="1">
      <c r="A139" s="1350"/>
      <c r="B139" s="167" t="s">
        <v>382</v>
      </c>
      <c r="C139" s="185" t="s">
        <v>391</v>
      </c>
      <c r="D139" s="186" t="s">
        <v>78</v>
      </c>
      <c r="E139" s="408"/>
      <c r="F139" s="408"/>
      <c r="G139" s="408"/>
      <c r="H139" s="408"/>
      <c r="I139" s="356">
        <v>545.4545454545455</v>
      </c>
      <c r="J139" s="357">
        <f t="shared" si="68"/>
        <v>6545.454545454546</v>
      </c>
      <c r="K139" s="183"/>
      <c r="L139" s="1127" t="s">
        <v>539</v>
      </c>
      <c r="M139" s="1128">
        <v>12</v>
      </c>
      <c r="N139" s="58"/>
      <c r="O139" s="420"/>
      <c r="P139" s="420"/>
      <c r="Q139" s="420"/>
      <c r="R139" s="677">
        <v>403959</v>
      </c>
      <c r="S139" s="676">
        <v>3163.97</v>
      </c>
    </row>
    <row r="140" spans="1:19" ht="30.65" customHeight="1">
      <c r="A140" s="1350"/>
      <c r="B140" s="167" t="s">
        <v>382</v>
      </c>
      <c r="C140" s="185" t="s">
        <v>392</v>
      </c>
      <c r="D140" s="186" t="s">
        <v>78</v>
      </c>
      <c r="E140" s="408"/>
      <c r="F140" s="408"/>
      <c r="G140" s="408"/>
      <c r="H140" s="408"/>
      <c r="I140" s="356">
        <v>780.08333333333337</v>
      </c>
      <c r="J140" s="357">
        <f t="shared" si="68"/>
        <v>9361</v>
      </c>
      <c r="K140" s="183"/>
      <c r="L140" s="1127" t="s">
        <v>542</v>
      </c>
      <c r="M140" s="1128">
        <v>12</v>
      </c>
      <c r="N140" s="58"/>
      <c r="O140" s="420"/>
      <c r="P140" s="420"/>
      <c r="Q140" s="420"/>
      <c r="R140" s="677">
        <v>60182</v>
      </c>
      <c r="S140" s="676">
        <v>471.37</v>
      </c>
    </row>
    <row r="141" spans="1:19" ht="30.65" customHeight="1">
      <c r="A141" s="1350"/>
      <c r="B141" s="167" t="s">
        <v>382</v>
      </c>
      <c r="C141" s="185" t="s">
        <v>393</v>
      </c>
      <c r="D141" s="186" t="s">
        <v>78</v>
      </c>
      <c r="E141" s="408"/>
      <c r="F141" s="408"/>
      <c r="G141" s="408"/>
      <c r="H141" s="408"/>
      <c r="I141" s="356">
        <v>950</v>
      </c>
      <c r="J141" s="357">
        <f t="shared" si="68"/>
        <v>4750</v>
      </c>
      <c r="K141" s="183"/>
      <c r="L141" s="1127"/>
      <c r="M141" s="1128">
        <v>5</v>
      </c>
      <c r="N141" s="58"/>
      <c r="O141" s="420"/>
      <c r="P141" s="420"/>
      <c r="Q141" s="420"/>
      <c r="R141" s="677">
        <v>146402</v>
      </c>
      <c r="S141" s="676">
        <v>1146.68</v>
      </c>
    </row>
    <row r="142" spans="1:19" ht="30.65" customHeight="1">
      <c r="A142" s="1350"/>
      <c r="B142" s="167" t="s">
        <v>382</v>
      </c>
      <c r="C142" s="187" t="s">
        <v>394</v>
      </c>
      <c r="D142" s="186" t="s">
        <v>78</v>
      </c>
      <c r="E142" s="408"/>
      <c r="F142" s="408"/>
      <c r="G142" s="408"/>
      <c r="H142" s="408"/>
      <c r="I142" s="356">
        <v>25</v>
      </c>
      <c r="J142" s="357">
        <f t="shared" si="68"/>
        <v>300</v>
      </c>
      <c r="K142" s="183"/>
      <c r="L142" s="1127" t="s">
        <v>539</v>
      </c>
      <c r="M142" s="1128">
        <v>12</v>
      </c>
      <c r="N142" s="58"/>
      <c r="O142" s="420"/>
      <c r="P142" s="420"/>
      <c r="Q142" s="420"/>
      <c r="R142" s="677">
        <v>15.3</v>
      </c>
      <c r="S142" s="676">
        <v>0.12</v>
      </c>
    </row>
    <row r="143" spans="1:19">
      <c r="A143" s="1351"/>
      <c r="B143" s="65"/>
      <c r="C143" s="81"/>
      <c r="D143" s="120"/>
      <c r="E143" s="67"/>
      <c r="F143" s="67"/>
      <c r="G143" s="67"/>
      <c r="H143" s="66"/>
      <c r="I143" s="359"/>
      <c r="J143" s="358">
        <f>SUM(J129:J142)</f>
        <v>43857.909090909088</v>
      </c>
      <c r="K143" s="139"/>
      <c r="L143" s="111"/>
      <c r="M143" s="440">
        <f>SUM(M129:M142)</f>
        <v>150</v>
      </c>
      <c r="N143" s="440">
        <f>SUM(N129:N142)</f>
        <v>0</v>
      </c>
      <c r="O143" s="142"/>
      <c r="P143" s="272"/>
      <c r="Q143" s="273"/>
      <c r="R143" s="678">
        <f>SUM(R129:R142)</f>
        <v>1609588.3</v>
      </c>
      <c r="S143" s="70">
        <f>SUM(S129:S142)</f>
        <v>12606.930000000002</v>
      </c>
    </row>
    <row r="144" spans="1:19" ht="30.65" customHeight="1">
      <c r="A144" s="264"/>
      <c r="B144" s="1130"/>
      <c r="C144" s="152" t="s">
        <v>395</v>
      </c>
      <c r="D144" s="64"/>
      <c r="E144" s="64"/>
      <c r="F144" s="64"/>
      <c r="G144" s="129"/>
      <c r="H144" s="130"/>
      <c r="I144" s="382"/>
      <c r="J144" s="253">
        <f>J163</f>
        <v>21595</v>
      </c>
      <c r="K144" s="140"/>
      <c r="L144" s="265"/>
      <c r="M144" s="266"/>
      <c r="N144" s="267"/>
      <c r="O144" s="141"/>
      <c r="P144" s="282"/>
      <c r="Q144" s="283"/>
      <c r="R144" s="351">
        <f t="shared" ref="R144:S144" si="69">R163</f>
        <v>1031770</v>
      </c>
      <c r="S144" s="253">
        <f t="shared" si="69"/>
        <v>8081.22</v>
      </c>
    </row>
    <row r="145" spans="1:19" ht="30.65" customHeight="1">
      <c r="A145" s="281"/>
      <c r="B145" s="167" t="s">
        <v>396</v>
      </c>
      <c r="C145" s="185" t="s">
        <v>543</v>
      </c>
      <c r="D145" s="186" t="s">
        <v>78</v>
      </c>
      <c r="E145" s="408"/>
      <c r="F145" s="408"/>
      <c r="G145" s="408"/>
      <c r="H145" s="408"/>
      <c r="I145" s="356">
        <v>318.18181818181819</v>
      </c>
      <c r="J145" s="357">
        <f t="shared" ref="J145:J162" si="70">I145*M145</f>
        <v>954.5454545454545</v>
      </c>
      <c r="K145" s="182"/>
      <c r="L145" s="1131" t="s">
        <v>398</v>
      </c>
      <c r="M145" s="1128">
        <v>3</v>
      </c>
      <c r="N145" s="58"/>
      <c r="O145" s="420"/>
      <c r="P145" s="420"/>
      <c r="Q145" s="420"/>
      <c r="R145" s="677">
        <v>34000</v>
      </c>
      <c r="S145" s="676">
        <v>266.3</v>
      </c>
    </row>
    <row r="146" spans="1:19" ht="30.65" customHeight="1">
      <c r="A146" s="281"/>
      <c r="B146" s="167" t="s">
        <v>396</v>
      </c>
      <c r="C146" s="185" t="s">
        <v>544</v>
      </c>
      <c r="D146" s="186" t="s">
        <v>78</v>
      </c>
      <c r="E146" s="408"/>
      <c r="F146" s="408"/>
      <c r="G146" s="408"/>
      <c r="H146" s="408"/>
      <c r="I146" s="356">
        <v>90.909090909090907</v>
      </c>
      <c r="J146" s="357">
        <f t="shared" si="70"/>
        <v>272.72727272727275</v>
      </c>
      <c r="K146" s="183"/>
      <c r="L146" s="1131" t="s">
        <v>545</v>
      </c>
      <c r="M146" s="1128">
        <v>3</v>
      </c>
      <c r="N146" s="58"/>
      <c r="O146" s="420"/>
      <c r="P146" s="420"/>
      <c r="Q146" s="420"/>
      <c r="R146" s="677">
        <v>0</v>
      </c>
      <c r="S146" s="676">
        <v>0</v>
      </c>
    </row>
    <row r="147" spans="1:19" ht="30.65" customHeight="1">
      <c r="A147" s="281"/>
      <c r="B147" s="167" t="s">
        <v>396</v>
      </c>
      <c r="C147" s="185" t="s">
        <v>546</v>
      </c>
      <c r="D147" s="186" t="s">
        <v>78</v>
      </c>
      <c r="E147" s="408"/>
      <c r="F147" s="408"/>
      <c r="G147" s="408"/>
      <c r="H147" s="408"/>
      <c r="I147" s="356">
        <v>1000</v>
      </c>
      <c r="J147" s="357">
        <f t="shared" si="70"/>
        <v>5000</v>
      </c>
      <c r="K147" s="183"/>
      <c r="L147" s="1131" t="s">
        <v>398</v>
      </c>
      <c r="M147" s="1128">
        <v>5</v>
      </c>
      <c r="N147" s="58"/>
      <c r="O147" s="420"/>
      <c r="P147" s="420"/>
      <c r="Q147" s="420"/>
      <c r="R147" s="677">
        <v>462799</v>
      </c>
      <c r="S147" s="676">
        <v>3624.82</v>
      </c>
    </row>
    <row r="148" spans="1:19" ht="30.65" customHeight="1">
      <c r="A148" s="281"/>
      <c r="B148" s="167" t="s">
        <v>396</v>
      </c>
      <c r="C148" s="185" t="s">
        <v>547</v>
      </c>
      <c r="D148" s="186" t="s">
        <v>78</v>
      </c>
      <c r="E148" s="408"/>
      <c r="F148" s="408"/>
      <c r="G148" s="408"/>
      <c r="H148" s="408"/>
      <c r="I148" s="356">
        <v>136.36363636363637</v>
      </c>
      <c r="J148" s="357">
        <f t="shared" si="70"/>
        <v>545.4545454545455</v>
      </c>
      <c r="K148" s="183"/>
      <c r="L148" s="1131" t="s">
        <v>398</v>
      </c>
      <c r="M148" s="1128">
        <v>4</v>
      </c>
      <c r="N148" s="58"/>
      <c r="O148" s="420"/>
      <c r="P148" s="420"/>
      <c r="Q148" s="420"/>
      <c r="R148" s="677">
        <v>44000</v>
      </c>
      <c r="S148" s="676">
        <v>344.63</v>
      </c>
    </row>
    <row r="149" spans="1:19" ht="30.65" customHeight="1">
      <c r="A149" s="281"/>
      <c r="B149" s="167" t="s">
        <v>396</v>
      </c>
      <c r="C149" s="185" t="s">
        <v>548</v>
      </c>
      <c r="D149" s="186" t="s">
        <v>78</v>
      </c>
      <c r="E149" s="408"/>
      <c r="F149" s="408"/>
      <c r="G149" s="408"/>
      <c r="H149" s="408"/>
      <c r="I149" s="356">
        <v>454.54545454545456</v>
      </c>
      <c r="J149" s="357">
        <f t="shared" si="70"/>
        <v>454.54545454545456</v>
      </c>
      <c r="K149" s="183"/>
      <c r="L149" s="1131" t="s">
        <v>398</v>
      </c>
      <c r="M149" s="1128">
        <v>1</v>
      </c>
      <c r="N149" s="58"/>
      <c r="O149" s="420"/>
      <c r="P149" s="420"/>
      <c r="Q149" s="420"/>
      <c r="R149" s="677">
        <v>42155</v>
      </c>
      <c r="S149" s="676">
        <v>330.17</v>
      </c>
    </row>
    <row r="150" spans="1:19" ht="30.65" customHeight="1">
      <c r="A150" s="281"/>
      <c r="B150" s="167" t="s">
        <v>396</v>
      </c>
      <c r="C150" s="185" t="s">
        <v>549</v>
      </c>
      <c r="D150" s="186" t="s">
        <v>78</v>
      </c>
      <c r="E150" s="408"/>
      <c r="F150" s="408"/>
      <c r="G150" s="408"/>
      <c r="H150" s="408"/>
      <c r="I150" s="356">
        <v>363.63636363636363</v>
      </c>
      <c r="J150" s="357">
        <f t="shared" si="70"/>
        <v>727.27272727272725</v>
      </c>
      <c r="K150" s="183"/>
      <c r="L150" s="1131" t="s">
        <v>398</v>
      </c>
      <c r="M150" s="1128">
        <v>2</v>
      </c>
      <c r="N150" s="58"/>
      <c r="O150" s="420"/>
      <c r="P150" s="420"/>
      <c r="Q150" s="420"/>
      <c r="R150" s="677">
        <v>79500</v>
      </c>
      <c r="S150" s="676">
        <v>622.67999999999995</v>
      </c>
    </row>
    <row r="151" spans="1:19" ht="30.65" customHeight="1">
      <c r="A151" s="281"/>
      <c r="B151" s="167" t="s">
        <v>396</v>
      </c>
      <c r="C151" s="185" t="s">
        <v>550</v>
      </c>
      <c r="D151" s="186" t="s">
        <v>78</v>
      </c>
      <c r="E151" s="408"/>
      <c r="F151" s="408"/>
      <c r="G151" s="408"/>
      <c r="H151" s="408"/>
      <c r="I151" s="356">
        <v>181.81818181818181</v>
      </c>
      <c r="J151" s="357">
        <f t="shared" si="70"/>
        <v>727.27272727272725</v>
      </c>
      <c r="K151" s="183"/>
      <c r="L151" s="1131" t="s">
        <v>398</v>
      </c>
      <c r="M151" s="1128">
        <v>4</v>
      </c>
      <c r="N151" s="58"/>
      <c r="O151" s="420"/>
      <c r="P151" s="420"/>
      <c r="Q151" s="420"/>
      <c r="R151" s="677">
        <v>0</v>
      </c>
      <c r="S151" s="676">
        <v>0</v>
      </c>
    </row>
    <row r="152" spans="1:19" ht="30.65" customHeight="1">
      <c r="A152" s="281"/>
      <c r="B152" s="167" t="s">
        <v>396</v>
      </c>
      <c r="C152" s="185" t="s">
        <v>551</v>
      </c>
      <c r="D152" s="186" t="s">
        <v>78</v>
      </c>
      <c r="E152" s="408"/>
      <c r="F152" s="408"/>
      <c r="G152" s="408"/>
      <c r="H152" s="408"/>
      <c r="I152" s="356">
        <v>72.727272727272734</v>
      </c>
      <c r="J152" s="357">
        <f t="shared" si="70"/>
        <v>72.727272727272734</v>
      </c>
      <c r="K152" s="183"/>
      <c r="L152" s="1131" t="s">
        <v>398</v>
      </c>
      <c r="M152" s="1128">
        <v>1</v>
      </c>
      <c r="N152" s="58"/>
      <c r="O152" s="420"/>
      <c r="P152" s="420"/>
      <c r="Q152" s="420"/>
      <c r="R152" s="677">
        <v>7006</v>
      </c>
      <c r="S152" s="676">
        <v>54.87</v>
      </c>
    </row>
    <row r="153" spans="1:19" ht="30.65" customHeight="1">
      <c r="A153" s="281"/>
      <c r="B153" s="167" t="s">
        <v>396</v>
      </c>
      <c r="C153" s="185" t="s">
        <v>552</v>
      </c>
      <c r="D153" s="186" t="s">
        <v>78</v>
      </c>
      <c r="E153" s="408"/>
      <c r="F153" s="408"/>
      <c r="G153" s="408"/>
      <c r="H153" s="408"/>
      <c r="I153" s="356">
        <v>454.54545454545456</v>
      </c>
      <c r="J153" s="357">
        <f t="shared" si="70"/>
        <v>909.09090909090912</v>
      </c>
      <c r="K153" s="183"/>
      <c r="L153" s="1131" t="s">
        <v>398</v>
      </c>
      <c r="M153" s="1128">
        <v>2</v>
      </c>
      <c r="N153" s="58"/>
      <c r="O153" s="420"/>
      <c r="P153" s="420"/>
      <c r="Q153" s="420"/>
      <c r="R153" s="677">
        <v>0</v>
      </c>
      <c r="S153" s="676">
        <v>0</v>
      </c>
    </row>
    <row r="154" spans="1:19" ht="30.65" customHeight="1">
      <c r="A154" s="281"/>
      <c r="B154" s="167" t="s">
        <v>396</v>
      </c>
      <c r="C154" s="185" t="s">
        <v>553</v>
      </c>
      <c r="D154" s="186" t="s">
        <v>78</v>
      </c>
      <c r="E154" s="408"/>
      <c r="F154" s="408"/>
      <c r="G154" s="408"/>
      <c r="H154" s="408"/>
      <c r="I154" s="356">
        <v>109.09090909090909</v>
      </c>
      <c r="J154" s="357">
        <f t="shared" si="70"/>
        <v>981.81818181818187</v>
      </c>
      <c r="K154" s="183"/>
      <c r="L154" s="1131" t="s">
        <v>398</v>
      </c>
      <c r="M154" s="1128">
        <v>9</v>
      </c>
      <c r="N154" s="58"/>
      <c r="O154" s="420"/>
      <c r="P154" s="420"/>
      <c r="Q154" s="420"/>
      <c r="R154" s="677">
        <v>65600</v>
      </c>
      <c r="S154" s="676">
        <v>513.80999999999995</v>
      </c>
    </row>
    <row r="155" spans="1:19" ht="30.65" customHeight="1">
      <c r="A155" s="281"/>
      <c r="B155" s="167" t="s">
        <v>396</v>
      </c>
      <c r="C155" s="185" t="s">
        <v>554</v>
      </c>
      <c r="D155" s="186" t="s">
        <v>78</v>
      </c>
      <c r="E155" s="408"/>
      <c r="F155" s="408"/>
      <c r="G155" s="408"/>
      <c r="H155" s="408"/>
      <c r="I155" s="356">
        <v>909.09090909090912</v>
      </c>
      <c r="J155" s="357">
        <f t="shared" si="70"/>
        <v>909.09090909090912</v>
      </c>
      <c r="K155" s="183"/>
      <c r="L155" s="1131" t="s">
        <v>398</v>
      </c>
      <c r="M155" s="1128">
        <v>1</v>
      </c>
      <c r="N155" s="58"/>
      <c r="O155" s="420"/>
      <c r="P155" s="420"/>
      <c r="Q155" s="420"/>
      <c r="R155" s="677">
        <v>99800</v>
      </c>
      <c r="S155" s="676">
        <v>781.67</v>
      </c>
    </row>
    <row r="156" spans="1:19" ht="30.65" customHeight="1">
      <c r="A156" s="281"/>
      <c r="B156" s="167" t="s">
        <v>396</v>
      </c>
      <c r="C156" s="185" t="s">
        <v>555</v>
      </c>
      <c r="D156" s="186" t="s">
        <v>78</v>
      </c>
      <c r="E156" s="408"/>
      <c r="F156" s="408"/>
      <c r="G156" s="408"/>
      <c r="H156" s="408"/>
      <c r="I156" s="356">
        <v>136.36363636363637</v>
      </c>
      <c r="J156" s="357">
        <f t="shared" si="70"/>
        <v>272.72727272727275</v>
      </c>
      <c r="K156" s="183"/>
      <c r="L156" s="1131" t="s">
        <v>398</v>
      </c>
      <c r="M156" s="1128">
        <v>2</v>
      </c>
      <c r="N156" s="58"/>
      <c r="O156" s="420"/>
      <c r="P156" s="420"/>
      <c r="Q156" s="420"/>
      <c r="R156" s="677">
        <v>16200</v>
      </c>
      <c r="S156" s="676">
        <v>126.88</v>
      </c>
    </row>
    <row r="157" spans="1:19" ht="30.65" customHeight="1">
      <c r="A157" s="281"/>
      <c r="B157" s="167" t="s">
        <v>396</v>
      </c>
      <c r="C157" s="185" t="s">
        <v>404</v>
      </c>
      <c r="D157" s="186" t="s">
        <v>78</v>
      </c>
      <c r="E157" s="408"/>
      <c r="F157" s="408"/>
      <c r="G157" s="408"/>
      <c r="H157" s="408"/>
      <c r="I157" s="356">
        <v>381.81818181818181</v>
      </c>
      <c r="J157" s="357">
        <f t="shared" si="70"/>
        <v>1527.2727272727273</v>
      </c>
      <c r="K157" s="183"/>
      <c r="L157" s="1131" t="s">
        <v>398</v>
      </c>
      <c r="M157" s="1128">
        <v>4</v>
      </c>
      <c r="N157" s="58"/>
      <c r="O157" s="420"/>
      <c r="P157" s="420"/>
      <c r="Q157" s="420"/>
      <c r="R157" s="677">
        <v>82800</v>
      </c>
      <c r="S157" s="676">
        <v>648.52</v>
      </c>
    </row>
    <row r="158" spans="1:19" ht="30.65" customHeight="1">
      <c r="A158" s="281"/>
      <c r="B158" s="167" t="s">
        <v>396</v>
      </c>
      <c r="C158" s="185" t="s">
        <v>406</v>
      </c>
      <c r="D158" s="186" t="s">
        <v>78</v>
      </c>
      <c r="E158" s="408"/>
      <c r="F158" s="408"/>
      <c r="G158" s="408"/>
      <c r="H158" s="408"/>
      <c r="I158" s="356">
        <v>181.81818181818181</v>
      </c>
      <c r="J158" s="357">
        <f t="shared" si="70"/>
        <v>363.63636363636363</v>
      </c>
      <c r="K158" s="183"/>
      <c r="L158" s="1131" t="s">
        <v>398</v>
      </c>
      <c r="M158" s="1128">
        <v>2</v>
      </c>
      <c r="N158" s="58"/>
      <c r="O158" s="420"/>
      <c r="P158" s="420"/>
      <c r="Q158" s="420"/>
      <c r="R158" s="677">
        <v>0</v>
      </c>
      <c r="S158" s="676">
        <v>0</v>
      </c>
    </row>
    <row r="159" spans="1:19" ht="30.65" customHeight="1">
      <c r="A159" s="281"/>
      <c r="B159" s="167" t="s">
        <v>396</v>
      </c>
      <c r="C159" s="185" t="s">
        <v>556</v>
      </c>
      <c r="D159" s="186" t="s">
        <v>78</v>
      </c>
      <c r="E159" s="408"/>
      <c r="F159" s="408"/>
      <c r="G159" s="408"/>
      <c r="H159" s="408"/>
      <c r="I159" s="356">
        <v>454.54545454545456</v>
      </c>
      <c r="J159" s="357">
        <f t="shared" si="70"/>
        <v>454.54545454545456</v>
      </c>
      <c r="K159" s="183"/>
      <c r="L159" s="1131" t="s">
        <v>412</v>
      </c>
      <c r="M159" s="1128">
        <v>1</v>
      </c>
      <c r="N159" s="58"/>
      <c r="O159" s="420"/>
      <c r="P159" s="420"/>
      <c r="Q159" s="420"/>
      <c r="R159" s="677">
        <v>0</v>
      </c>
      <c r="S159" s="676">
        <v>0</v>
      </c>
    </row>
    <row r="160" spans="1:19" ht="30.65" customHeight="1">
      <c r="A160" s="281"/>
      <c r="B160" s="167" t="s">
        <v>396</v>
      </c>
      <c r="C160" s="185" t="s">
        <v>413</v>
      </c>
      <c r="D160" s="186" t="s">
        <v>78</v>
      </c>
      <c r="E160" s="408"/>
      <c r="F160" s="408"/>
      <c r="G160" s="408"/>
      <c r="H160" s="408"/>
      <c r="I160" s="356">
        <v>1818.1818181818182</v>
      </c>
      <c r="J160" s="357">
        <f t="shared" si="70"/>
        <v>1818.1818181818182</v>
      </c>
      <c r="K160" s="183"/>
      <c r="L160" s="1131" t="s">
        <v>414</v>
      </c>
      <c r="M160" s="1128">
        <v>1</v>
      </c>
      <c r="N160" s="58"/>
      <c r="O160" s="420"/>
      <c r="P160" s="420"/>
      <c r="Q160" s="420"/>
      <c r="R160" s="677">
        <v>77910</v>
      </c>
      <c r="S160" s="676">
        <v>610.22</v>
      </c>
    </row>
    <row r="161" spans="1:52" ht="30.65" customHeight="1">
      <c r="A161" s="281"/>
      <c r="B161" s="167" t="s">
        <v>396</v>
      </c>
      <c r="C161" s="185" t="s">
        <v>415</v>
      </c>
      <c r="D161" s="186" t="s">
        <v>78</v>
      </c>
      <c r="E161" s="408"/>
      <c r="F161" s="408"/>
      <c r="G161" s="408"/>
      <c r="H161" s="408"/>
      <c r="I161" s="356">
        <v>454.54545454545456</v>
      </c>
      <c r="J161" s="357">
        <f t="shared" si="70"/>
        <v>909.09090909090912</v>
      </c>
      <c r="K161" s="183"/>
      <c r="L161" s="1131" t="s">
        <v>414</v>
      </c>
      <c r="M161" s="1128">
        <v>2</v>
      </c>
      <c r="N161" s="58"/>
      <c r="O161" s="420"/>
      <c r="P161" s="420"/>
      <c r="Q161" s="420"/>
      <c r="R161" s="677">
        <v>0</v>
      </c>
      <c r="S161" s="676">
        <v>0</v>
      </c>
    </row>
    <row r="162" spans="1:52" ht="30.65" customHeight="1">
      <c r="A162" s="281"/>
      <c r="B162" s="167" t="s">
        <v>396</v>
      </c>
      <c r="C162" s="187" t="s">
        <v>417</v>
      </c>
      <c r="D162" s="186" t="s">
        <v>78</v>
      </c>
      <c r="E162" s="408"/>
      <c r="F162" s="408"/>
      <c r="G162" s="408"/>
      <c r="H162" s="408"/>
      <c r="I162" s="356">
        <v>4695</v>
      </c>
      <c r="J162" s="357">
        <f t="shared" si="70"/>
        <v>4695</v>
      </c>
      <c r="K162" s="183"/>
      <c r="L162" s="1131" t="s">
        <v>418</v>
      </c>
      <c r="M162" s="1128">
        <v>1</v>
      </c>
      <c r="N162" s="58"/>
      <c r="O162" s="420"/>
      <c r="P162" s="420"/>
      <c r="Q162" s="420"/>
      <c r="R162" s="677">
        <v>20000</v>
      </c>
      <c r="S162" s="676">
        <v>156.65</v>
      </c>
    </row>
    <row r="163" spans="1:52" ht="18.5">
      <c r="A163" s="383"/>
      <c r="B163" s="65"/>
      <c r="C163" s="81"/>
      <c r="D163" s="120"/>
      <c r="E163" s="67"/>
      <c r="F163" s="67"/>
      <c r="G163" s="67"/>
      <c r="H163" s="66"/>
      <c r="I163" s="359"/>
      <c r="J163" s="358">
        <f>SUM(J145:J162)</f>
        <v>21595</v>
      </c>
      <c r="K163" s="139"/>
      <c r="L163" s="111"/>
      <c r="M163" s="440">
        <f>SUM(M145:M162)</f>
        <v>48</v>
      </c>
      <c r="N163" s="274"/>
      <c r="O163" s="142"/>
      <c r="P163" s="272"/>
      <c r="Q163" s="273"/>
      <c r="R163" s="678">
        <f>SUM(R145:R162)</f>
        <v>1031770</v>
      </c>
      <c r="S163" s="70">
        <f>SUM(S145:S162)</f>
        <v>8081.22</v>
      </c>
    </row>
    <row r="164" spans="1:52" ht="30.65" customHeight="1">
      <c r="A164" s="264"/>
      <c r="B164" s="1130"/>
      <c r="C164" s="152" t="s">
        <v>420</v>
      </c>
      <c r="D164" s="64"/>
      <c r="E164" s="64"/>
      <c r="F164" s="64"/>
      <c r="G164" s="129"/>
      <c r="H164" s="130"/>
      <c r="I164" s="382"/>
      <c r="J164" s="253">
        <v>358690.5</v>
      </c>
      <c r="K164" s="140"/>
      <c r="L164" s="265"/>
      <c r="M164" s="266"/>
      <c r="N164" s="267"/>
      <c r="O164" s="141"/>
      <c r="P164" s="282"/>
      <c r="Q164" s="283"/>
      <c r="R164" s="351"/>
      <c r="S164" s="253"/>
    </row>
    <row r="165" spans="1:52" ht="35.25" customHeight="1" thickBot="1">
      <c r="A165" s="268" t="s">
        <v>437</v>
      </c>
      <c r="B165" s="269"/>
      <c r="C165" s="270"/>
      <c r="D165" s="270"/>
      <c r="E165" s="1352" t="s">
        <v>557</v>
      </c>
      <c r="F165" s="1353"/>
      <c r="G165" s="1353"/>
      <c r="H165" s="1354"/>
      <c r="I165" s="115"/>
      <c r="J165" s="271">
        <f>J5+J127</f>
        <v>1355994.7545454544</v>
      </c>
      <c r="K165" s="137"/>
      <c r="L165" s="115"/>
      <c r="M165" s="116"/>
      <c r="N165" s="117"/>
      <c r="O165" s="118"/>
      <c r="P165" s="119"/>
      <c r="Q165" s="119"/>
      <c r="R165" s="349">
        <f>R5+R127</f>
        <v>52615089.299999997</v>
      </c>
      <c r="S165" s="271">
        <f>S5+S127</f>
        <v>412102.10000000009</v>
      </c>
    </row>
    <row r="166" spans="1:52" ht="31">
      <c r="A166" s="1108"/>
      <c r="B166" s="1108"/>
      <c r="C166" s="1108"/>
      <c r="D166" s="1132" t="s">
        <v>439</v>
      </c>
      <c r="E166" s="159"/>
      <c r="F166" s="159"/>
      <c r="G166" s="159"/>
      <c r="H166" s="1133"/>
      <c r="I166" s="1134"/>
      <c r="J166" s="1135"/>
      <c r="K166" s="1136"/>
      <c r="L166" s="1136"/>
      <c r="M166" s="1136"/>
      <c r="N166" s="1108"/>
      <c r="O166" s="659" t="s">
        <v>440</v>
      </c>
      <c r="P166" s="674">
        <f>IFERROR(AVERAGE(O8:O16,O19:O19, O21:O24,O26:O28,O32,O34,O38:O40,O42:O44,O48:O53,O55:O58,O60:O65,O68:O71,O73:O77,O79:O82,O85:O87,O89:O92,O96:O98,O100:O104,O107:O116,O119:O125),"")</f>
        <v>0.60714285714285721</v>
      </c>
      <c r="Q166" s="673"/>
      <c r="R166" s="163" t="s">
        <v>441</v>
      </c>
      <c r="S166" s="160"/>
    </row>
    <row r="167" spans="1:52" ht="32.25" customHeight="1">
      <c r="A167" s="1108"/>
      <c r="B167" s="1108"/>
      <c r="C167" s="1108"/>
      <c r="D167" s="1137" t="s">
        <v>442</v>
      </c>
      <c r="E167" s="164"/>
      <c r="F167" s="164"/>
      <c r="G167" s="164"/>
      <c r="H167" s="1138"/>
      <c r="I167" s="1138"/>
      <c r="J167" s="161">
        <f>J165-J166</f>
        <v>1355994.7545454544</v>
      </c>
      <c r="K167" s="1139"/>
      <c r="L167" s="1136"/>
      <c r="M167" s="1136"/>
      <c r="N167" s="1108"/>
      <c r="O167" s="1108"/>
      <c r="P167" s="1108"/>
      <c r="Q167" s="1108"/>
      <c r="R167" s="1108"/>
      <c r="S167" s="1108"/>
    </row>
    <row r="170" spans="1:52" ht="15.5">
      <c r="A170" s="1108"/>
      <c r="B170" s="1108"/>
      <c r="C170" s="1108"/>
      <c r="D170" s="1108"/>
      <c r="J170" s="1139"/>
      <c r="K170" s="1139"/>
      <c r="L170" s="1108"/>
      <c r="M170" s="1108"/>
      <c r="N170" s="1108"/>
      <c r="O170" s="1108"/>
      <c r="P170" s="1108"/>
      <c r="Q170" s="1108"/>
      <c r="R170" s="1108"/>
      <c r="S170" s="1108"/>
      <c r="W170" s="1264" t="s">
        <v>443</v>
      </c>
      <c r="X170" s="1265" t="s">
        <v>444</v>
      </c>
      <c r="Y170" s="1264" t="s">
        <v>445</v>
      </c>
      <c r="Z170" s="1262" t="s">
        <v>446</v>
      </c>
      <c r="AA170" s="1262" t="s">
        <v>447</v>
      </c>
      <c r="AB170" s="1264" t="s">
        <v>448</v>
      </c>
      <c r="AC170" s="1264"/>
      <c r="AD170" s="1264"/>
      <c r="AE170" s="1264"/>
      <c r="AF170" s="1265" t="s">
        <v>241</v>
      </c>
      <c r="AG170" s="1265" t="s">
        <v>242</v>
      </c>
      <c r="AH170" s="1267" t="s">
        <v>449</v>
      </c>
      <c r="AI170" s="1267" t="s">
        <v>450</v>
      </c>
      <c r="AJ170" s="392" t="s">
        <v>451</v>
      </c>
      <c r="AK170" s="1258" t="s">
        <v>452</v>
      </c>
      <c r="AL170" s="1258"/>
      <c r="AM170" s="1258"/>
      <c r="AN170" s="1258"/>
      <c r="AO170" s="1258"/>
      <c r="AP170" s="1259" t="s">
        <v>453</v>
      </c>
      <c r="AQ170" s="1260"/>
      <c r="AR170" s="1260"/>
      <c r="AS170" s="1260"/>
      <c r="AT170" s="1260"/>
      <c r="AU170" s="1260"/>
      <c r="AV170" s="1261"/>
      <c r="AW170" s="1258" t="s">
        <v>454</v>
      </c>
      <c r="AX170" s="1258"/>
      <c r="AY170" s="1258"/>
      <c r="AZ170" s="1262" t="s">
        <v>455</v>
      </c>
    </row>
    <row r="171" spans="1:52" ht="77.5">
      <c r="A171" s="1108"/>
      <c r="B171" s="1108"/>
      <c r="C171" s="1108"/>
      <c r="D171" s="1108"/>
      <c r="J171" s="1139"/>
      <c r="K171" s="1139"/>
      <c r="L171" s="1108"/>
      <c r="M171" s="1108"/>
      <c r="N171" s="1108"/>
      <c r="O171" s="1108"/>
      <c r="P171" s="1108"/>
      <c r="Q171" s="1108"/>
      <c r="R171" s="1108"/>
      <c r="S171" s="1108"/>
      <c r="W171" s="1264"/>
      <c r="X171" s="1266"/>
      <c r="Y171" s="1264"/>
      <c r="Z171" s="1263"/>
      <c r="AA171" s="1263"/>
      <c r="AB171" s="391" t="s">
        <v>248</v>
      </c>
      <c r="AC171" s="391" t="s">
        <v>249</v>
      </c>
      <c r="AD171" s="391" t="s">
        <v>250</v>
      </c>
      <c r="AE171" s="391" t="s">
        <v>251</v>
      </c>
      <c r="AF171" s="1266"/>
      <c r="AG171" s="1266"/>
      <c r="AH171" s="1268"/>
      <c r="AI171" s="1268"/>
      <c r="AJ171" s="394"/>
      <c r="AK171" s="393" t="s">
        <v>456</v>
      </c>
      <c r="AL171" s="393" t="s">
        <v>457</v>
      </c>
      <c r="AM171" s="393" t="s">
        <v>458</v>
      </c>
      <c r="AN171" s="393" t="s">
        <v>459</v>
      </c>
      <c r="AO171" s="393" t="s">
        <v>460</v>
      </c>
      <c r="AP171" s="393" t="s">
        <v>461</v>
      </c>
      <c r="AQ171" s="393" t="s">
        <v>462</v>
      </c>
      <c r="AR171" s="393" t="s">
        <v>463</v>
      </c>
      <c r="AS171" s="393" t="s">
        <v>464</v>
      </c>
      <c r="AT171" s="393" t="s">
        <v>465</v>
      </c>
      <c r="AU171" s="393" t="s">
        <v>466</v>
      </c>
      <c r="AV171" s="393" t="s">
        <v>467</v>
      </c>
      <c r="AW171" s="393" t="s">
        <v>468</v>
      </c>
      <c r="AX171" s="393" t="s">
        <v>469</v>
      </c>
      <c r="AY171" s="393" t="s">
        <v>470</v>
      </c>
      <c r="AZ171" s="1263"/>
    </row>
    <row r="172" spans="1:52" ht="15.5">
      <c r="A172" s="1108"/>
      <c r="B172" s="1108"/>
      <c r="C172" s="1108"/>
      <c r="D172" s="1108"/>
      <c r="J172" s="1139"/>
      <c r="K172" s="1139"/>
      <c r="L172" s="1108"/>
      <c r="M172" s="1108"/>
      <c r="N172" s="1108"/>
      <c r="O172" s="1108"/>
      <c r="P172" s="1108"/>
      <c r="Q172" s="1108"/>
      <c r="R172" s="1108"/>
      <c r="S172" s="1108"/>
      <c r="W172" s="395"/>
      <c r="X172" s="396"/>
      <c r="Y172" s="395"/>
      <c r="Z172" s="397"/>
      <c r="AA172" s="397"/>
      <c r="AB172" s="395"/>
      <c r="AC172" s="395"/>
      <c r="AD172" s="395"/>
      <c r="AE172" s="395"/>
      <c r="AF172" s="396"/>
      <c r="AG172" s="398"/>
      <c r="AH172" s="399"/>
      <c r="AI172" s="399"/>
      <c r="AJ172" s="400"/>
      <c r="AK172" s="401"/>
      <c r="AL172" s="401"/>
      <c r="AM172" s="401"/>
      <c r="AN172" s="401"/>
      <c r="AO172" s="401"/>
      <c r="AP172" s="401"/>
      <c r="AQ172" s="401"/>
      <c r="AR172" s="401"/>
      <c r="AS172" s="401"/>
      <c r="AT172" s="401"/>
      <c r="AU172" s="401"/>
      <c r="AV172" s="401"/>
      <c r="AW172" s="399"/>
      <c r="AX172" s="399"/>
      <c r="AY172" s="399"/>
      <c r="AZ172" s="397"/>
    </row>
    <row r="173" spans="1:52" ht="62">
      <c r="A173" s="390"/>
      <c r="B173" s="1108"/>
      <c r="C173" s="1108"/>
      <c r="D173" s="1108"/>
      <c r="J173" s="1139"/>
      <c r="K173" s="1139"/>
      <c r="L173" s="1108"/>
      <c r="M173" s="1108"/>
      <c r="N173" s="1108"/>
      <c r="O173" s="1108"/>
      <c r="P173" s="1108"/>
      <c r="Q173" s="1108"/>
      <c r="R173" s="1108"/>
      <c r="S173" s="1108"/>
      <c r="W173" s="316"/>
      <c r="X173" s="317"/>
      <c r="Y173" s="316"/>
      <c r="Z173" s="316" t="s">
        <v>471</v>
      </c>
      <c r="AA173" s="316"/>
      <c r="AB173" s="316">
        <f>SUM(AB174:AB188)</f>
        <v>0</v>
      </c>
      <c r="AC173" s="316">
        <f>SUM(AC174:AC188)</f>
        <v>0</v>
      </c>
      <c r="AD173" s="316">
        <f>SUM(AD174:AD188)</f>
        <v>0</v>
      </c>
      <c r="AE173" s="316">
        <f>SUM(AE174:AE188)</f>
        <v>0</v>
      </c>
      <c r="AF173" s="318"/>
      <c r="AG173" s="319"/>
      <c r="AH173" s="320"/>
      <c r="AI173" s="320">
        <f t="shared" ref="AI173" si="71">SUM(AI174:AI188)</f>
        <v>341694.20454545459</v>
      </c>
      <c r="AJ173" s="321"/>
      <c r="AK173" s="320">
        <f>SUM(AK174:AK188)</f>
        <v>58379.868749999994</v>
      </c>
      <c r="AL173" s="320">
        <f t="shared" ref="AL173:AU173" si="72">SUM(AL174:AL188)</f>
        <v>41832.346022727274</v>
      </c>
      <c r="AM173" s="320">
        <f t="shared" si="72"/>
        <v>133332.87613636366</v>
      </c>
      <c r="AN173" s="320">
        <f>SUM(AN174:AN188)</f>
        <v>62713.227272727265</v>
      </c>
      <c r="AO173" s="320">
        <f t="shared" si="72"/>
        <v>45435.88636363636</v>
      </c>
      <c r="AP173" s="320">
        <f t="shared" si="72"/>
        <v>56949.034090909088</v>
      </c>
      <c r="AQ173" s="320">
        <f>SUM(AQ174:AQ188)</f>
        <v>56949.034090909088</v>
      </c>
      <c r="AR173" s="320">
        <f t="shared" si="72"/>
        <v>56949.034090909088</v>
      </c>
      <c r="AS173" s="320">
        <f t="shared" si="72"/>
        <v>56949.034090909088</v>
      </c>
      <c r="AT173" s="320">
        <f t="shared" si="72"/>
        <v>56949.034090909088</v>
      </c>
      <c r="AU173" s="320">
        <f t="shared" si="72"/>
        <v>56949.034090909088</v>
      </c>
      <c r="AV173" s="320">
        <f>SUM(AV174:AV188)</f>
        <v>341694.20454545459</v>
      </c>
      <c r="AW173" s="320">
        <f t="shared" ref="AW173:AY173" si="73">SUM(AW174:AW188)</f>
        <v>341694.20454545459</v>
      </c>
      <c r="AX173" s="320">
        <f t="shared" si="73"/>
        <v>0</v>
      </c>
      <c r="AY173" s="320">
        <f t="shared" si="73"/>
        <v>341694.20454545459</v>
      </c>
      <c r="AZ173" s="322"/>
    </row>
    <row r="174" spans="1:52" ht="46.5">
      <c r="A174" s="1108"/>
      <c r="B174" s="1108"/>
      <c r="C174" s="1108"/>
      <c r="D174" s="1108"/>
      <c r="J174" s="1139"/>
      <c r="K174" s="1139"/>
      <c r="L174" s="1108"/>
      <c r="M174" s="1108"/>
      <c r="N174" s="1108"/>
      <c r="O174" s="1108"/>
      <c r="P174" s="1108"/>
      <c r="Q174" s="1108"/>
      <c r="R174" s="1108"/>
      <c r="S174" s="1108"/>
      <c r="W174" s="323" t="s">
        <v>421</v>
      </c>
      <c r="X174" s="324"/>
      <c r="Y174" s="323"/>
      <c r="Z174" s="325" t="s">
        <v>422</v>
      </c>
      <c r="AA174" s="326" t="s">
        <v>78</v>
      </c>
      <c r="AB174" s="327"/>
      <c r="AC174" s="327"/>
      <c r="AD174" s="327"/>
      <c r="AE174" s="327"/>
      <c r="AF174" s="328" t="s">
        <v>472</v>
      </c>
      <c r="AG174" s="329">
        <v>15</v>
      </c>
      <c r="AH174" s="330">
        <v>2424.5454545454545</v>
      </c>
      <c r="AI174" s="330">
        <f t="shared" ref="AI174:AI188" si="74">AH174*AG174</f>
        <v>36368.181818181816</v>
      </c>
      <c r="AJ174" s="331"/>
      <c r="AK174" s="332">
        <v>18184.090909090908</v>
      </c>
      <c r="AL174" s="332">
        <v>3636.818181818182</v>
      </c>
      <c r="AM174" s="332">
        <v>7273.636363636364</v>
      </c>
      <c r="AN174" s="332">
        <v>1818.409090909091</v>
      </c>
      <c r="AO174" s="332">
        <v>5455.2272727272721</v>
      </c>
      <c r="AP174" s="333">
        <f>AI174/6</f>
        <v>6061.363636363636</v>
      </c>
      <c r="AQ174" s="333">
        <v>6061.363636363636</v>
      </c>
      <c r="AR174" s="333">
        <v>6061.363636363636</v>
      </c>
      <c r="AS174" s="333">
        <v>6061.363636363636</v>
      </c>
      <c r="AT174" s="333">
        <v>6061.363636363636</v>
      </c>
      <c r="AU174" s="333">
        <v>6061.363636363636</v>
      </c>
      <c r="AV174" s="334">
        <f t="shared" ref="AV174:AV188" si="75">AG174*AH174</f>
        <v>36368.181818181816</v>
      </c>
      <c r="AW174" s="334">
        <f>AV174</f>
        <v>36368.181818181816</v>
      </c>
      <c r="AX174" s="334">
        <f t="shared" ref="AX174:AX188" si="76">AI174-AW174</f>
        <v>0</v>
      </c>
      <c r="AY174" s="334">
        <f>AX174+AW174</f>
        <v>36368.181818181816</v>
      </c>
      <c r="AZ174" s="335"/>
    </row>
    <row r="175" spans="1:52" ht="46.5">
      <c r="A175" s="1108"/>
      <c r="B175" s="1108"/>
      <c r="C175" s="1108"/>
      <c r="D175" s="1108"/>
      <c r="J175" s="1139"/>
      <c r="K175" s="1139"/>
      <c r="L175" s="1108"/>
      <c r="M175" s="1108"/>
      <c r="N175" s="1108"/>
      <c r="O175" s="1108"/>
      <c r="P175" s="1108"/>
      <c r="Q175" s="1108"/>
      <c r="R175" s="1108"/>
      <c r="S175" s="1108"/>
      <c r="W175" s="323" t="s">
        <v>421</v>
      </c>
      <c r="X175" s="324"/>
      <c r="Y175" s="323"/>
      <c r="Z175" s="325" t="s">
        <v>423</v>
      </c>
      <c r="AA175" s="326" t="s">
        <v>78</v>
      </c>
      <c r="AB175" s="327"/>
      <c r="AC175" s="327"/>
      <c r="AD175" s="327"/>
      <c r="AE175" s="327"/>
      <c r="AF175" s="328" t="s">
        <v>472</v>
      </c>
      <c r="AG175" s="329">
        <v>15</v>
      </c>
      <c r="AH175" s="330">
        <v>2239.3636363636365</v>
      </c>
      <c r="AI175" s="330">
        <f t="shared" si="74"/>
        <v>33590.454545454544</v>
      </c>
      <c r="AJ175" s="331"/>
      <c r="AK175" s="332">
        <v>6718.090909090909</v>
      </c>
      <c r="AL175" s="332">
        <v>6718.090909090909</v>
      </c>
      <c r="AM175" s="332">
        <v>11756.65909090909</v>
      </c>
      <c r="AN175" s="332">
        <v>3359.0454545454545</v>
      </c>
      <c r="AO175" s="332">
        <v>5038.5681818181811</v>
      </c>
      <c r="AP175" s="333">
        <f t="shared" ref="AP175:AP188" si="77">AI175/6</f>
        <v>5598.409090909091</v>
      </c>
      <c r="AQ175" s="333">
        <v>5598.409090909091</v>
      </c>
      <c r="AR175" s="333">
        <v>5598.409090909091</v>
      </c>
      <c r="AS175" s="333">
        <v>5598.409090909091</v>
      </c>
      <c r="AT175" s="333">
        <v>5598.409090909091</v>
      </c>
      <c r="AU175" s="333">
        <v>5598.409090909091</v>
      </c>
      <c r="AV175" s="334">
        <f t="shared" si="75"/>
        <v>33590.454545454544</v>
      </c>
      <c r="AW175" s="334">
        <f t="shared" ref="AW175:AW188" si="78">AV175</f>
        <v>33590.454545454544</v>
      </c>
      <c r="AX175" s="334">
        <f t="shared" si="76"/>
        <v>0</v>
      </c>
      <c r="AY175" s="334">
        <f t="shared" ref="AY175:AY188" si="79">AX175+AW175</f>
        <v>33590.454545454544</v>
      </c>
      <c r="AZ175" s="335"/>
    </row>
    <row r="176" spans="1:52" ht="108.5">
      <c r="A176" s="1108"/>
      <c r="B176" s="1108"/>
      <c r="C176" s="1108"/>
      <c r="D176" s="1108"/>
      <c r="J176" s="1139"/>
      <c r="K176" s="1139"/>
      <c r="L176" s="1108"/>
      <c r="M176" s="1108"/>
      <c r="N176" s="1108"/>
      <c r="O176" s="1108"/>
      <c r="P176" s="1108"/>
      <c r="Q176" s="1108"/>
      <c r="R176" s="1108"/>
      <c r="S176" s="1108"/>
      <c r="W176" s="323" t="s">
        <v>421</v>
      </c>
      <c r="X176" s="324"/>
      <c r="Y176" s="323"/>
      <c r="Z176" s="325" t="s">
        <v>424</v>
      </c>
      <c r="AA176" s="326" t="s">
        <v>78</v>
      </c>
      <c r="AB176" s="327"/>
      <c r="AC176" s="327"/>
      <c r="AD176" s="327"/>
      <c r="AE176" s="327"/>
      <c r="AF176" s="328" t="s">
        <v>472</v>
      </c>
      <c r="AG176" s="329">
        <v>15</v>
      </c>
      <c r="AH176" s="330">
        <v>1860.409090909091</v>
      </c>
      <c r="AI176" s="330">
        <f t="shared" si="74"/>
        <v>27906.136363636364</v>
      </c>
      <c r="AJ176" s="331"/>
      <c r="AK176" s="332">
        <v>3488.2670454545455</v>
      </c>
      <c r="AL176" s="332">
        <v>3488.2670454545455</v>
      </c>
      <c r="AM176" s="332">
        <v>9767.1477272727261</v>
      </c>
      <c r="AN176" s="332">
        <v>5581.227272727273</v>
      </c>
      <c r="AO176" s="332">
        <v>5581.227272727273</v>
      </c>
      <c r="AP176" s="333">
        <f t="shared" si="77"/>
        <v>4651.022727272727</v>
      </c>
      <c r="AQ176" s="333">
        <v>4651.022727272727</v>
      </c>
      <c r="AR176" s="333">
        <v>4651.022727272727</v>
      </c>
      <c r="AS176" s="333">
        <v>4651.022727272727</v>
      </c>
      <c r="AT176" s="333">
        <v>4651.022727272727</v>
      </c>
      <c r="AU176" s="333">
        <v>4651.022727272727</v>
      </c>
      <c r="AV176" s="334">
        <f t="shared" si="75"/>
        <v>27906.136363636364</v>
      </c>
      <c r="AW176" s="334">
        <f t="shared" si="78"/>
        <v>27906.136363636364</v>
      </c>
      <c r="AX176" s="334">
        <f t="shared" si="76"/>
        <v>0</v>
      </c>
      <c r="AY176" s="334">
        <f t="shared" si="79"/>
        <v>27906.136363636364</v>
      </c>
      <c r="AZ176" s="335"/>
    </row>
    <row r="177" spans="23:52" ht="46.5">
      <c r="W177" s="323" t="s">
        <v>421</v>
      </c>
      <c r="X177" s="324"/>
      <c r="Y177" s="323"/>
      <c r="Z177" s="325" t="s">
        <v>425</v>
      </c>
      <c r="AA177" s="326" t="s">
        <v>78</v>
      </c>
      <c r="AB177" s="327"/>
      <c r="AC177" s="327"/>
      <c r="AD177" s="327"/>
      <c r="AE177" s="327"/>
      <c r="AF177" s="328" t="s">
        <v>472</v>
      </c>
      <c r="AG177" s="329">
        <v>15</v>
      </c>
      <c r="AH177" s="330">
        <v>1403.1818181818182</v>
      </c>
      <c r="AI177" s="330">
        <f t="shared" si="74"/>
        <v>21047.727272727272</v>
      </c>
      <c r="AJ177" s="331"/>
      <c r="AK177" s="332">
        <v>3157.1590909090905</v>
      </c>
      <c r="AL177" s="332">
        <v>3157.1590909090905</v>
      </c>
      <c r="AM177" s="332">
        <v>10523.863636363636</v>
      </c>
      <c r="AN177" s="332">
        <v>4209.545454545455</v>
      </c>
      <c r="AO177" s="332">
        <v>0</v>
      </c>
      <c r="AP177" s="333">
        <f t="shared" si="77"/>
        <v>3507.9545454545455</v>
      </c>
      <c r="AQ177" s="333">
        <v>3507.9545454545455</v>
      </c>
      <c r="AR177" s="333">
        <v>3507.9545454545455</v>
      </c>
      <c r="AS177" s="333">
        <v>3507.9545454545455</v>
      </c>
      <c r="AT177" s="333">
        <v>3507.9545454545455</v>
      </c>
      <c r="AU177" s="333">
        <v>3507.9545454545455</v>
      </c>
      <c r="AV177" s="334">
        <f t="shared" si="75"/>
        <v>21047.727272727272</v>
      </c>
      <c r="AW177" s="334">
        <f t="shared" si="78"/>
        <v>21047.727272727272</v>
      </c>
      <c r="AX177" s="334">
        <f t="shared" si="76"/>
        <v>0</v>
      </c>
      <c r="AY177" s="334">
        <f t="shared" si="79"/>
        <v>21047.727272727272</v>
      </c>
      <c r="AZ177" s="335"/>
    </row>
    <row r="178" spans="23:52" ht="62">
      <c r="W178" s="323" t="s">
        <v>421</v>
      </c>
      <c r="X178" s="324"/>
      <c r="Y178" s="323"/>
      <c r="Z178" s="325" t="s">
        <v>426</v>
      </c>
      <c r="AA178" s="326" t="s">
        <v>78</v>
      </c>
      <c r="AB178" s="327"/>
      <c r="AC178" s="327"/>
      <c r="AD178" s="327"/>
      <c r="AE178" s="327"/>
      <c r="AF178" s="328" t="s">
        <v>472</v>
      </c>
      <c r="AG178" s="329">
        <v>15</v>
      </c>
      <c r="AH178" s="336">
        <v>1343.0454545454545</v>
      </c>
      <c r="AI178" s="330">
        <f t="shared" si="74"/>
        <v>20145.681818181816</v>
      </c>
      <c r="AJ178" s="331"/>
      <c r="AK178" s="332">
        <v>2014.568181818182</v>
      </c>
      <c r="AL178" s="332">
        <v>4029.136363636364</v>
      </c>
      <c r="AM178" s="332">
        <v>10072.84090909091</v>
      </c>
      <c r="AN178" s="332">
        <v>4029.136363636364</v>
      </c>
      <c r="AO178" s="332">
        <v>0</v>
      </c>
      <c r="AP178" s="333">
        <f t="shared" si="77"/>
        <v>3357.613636363636</v>
      </c>
      <c r="AQ178" s="333">
        <v>3357.613636363636</v>
      </c>
      <c r="AR178" s="333">
        <v>3357.613636363636</v>
      </c>
      <c r="AS178" s="333">
        <v>3357.613636363636</v>
      </c>
      <c r="AT178" s="333">
        <v>3357.613636363636</v>
      </c>
      <c r="AU178" s="333">
        <v>3357.613636363636</v>
      </c>
      <c r="AV178" s="334">
        <f t="shared" si="75"/>
        <v>20145.681818181816</v>
      </c>
      <c r="AW178" s="334">
        <f t="shared" si="78"/>
        <v>20145.681818181816</v>
      </c>
      <c r="AX178" s="334">
        <f t="shared" si="76"/>
        <v>0</v>
      </c>
      <c r="AY178" s="334">
        <f t="shared" si="79"/>
        <v>20145.681818181816</v>
      </c>
      <c r="AZ178" s="335"/>
    </row>
    <row r="179" spans="23:52" ht="77.5">
      <c r="W179" s="323" t="s">
        <v>421</v>
      </c>
      <c r="X179" s="324"/>
      <c r="Y179" s="323"/>
      <c r="Z179" s="325" t="s">
        <v>427</v>
      </c>
      <c r="AA179" s="326" t="s">
        <v>78</v>
      </c>
      <c r="AB179" s="327"/>
      <c r="AC179" s="327"/>
      <c r="AD179" s="327"/>
      <c r="AE179" s="327"/>
      <c r="AF179" s="328" t="s">
        <v>472</v>
      </c>
      <c r="AG179" s="329">
        <v>15</v>
      </c>
      <c r="AH179" s="336">
        <v>1343.0454545454545</v>
      </c>
      <c r="AI179" s="330">
        <f t="shared" si="74"/>
        <v>20145.681818181816</v>
      </c>
      <c r="AJ179" s="331"/>
      <c r="AK179" s="332">
        <v>2518.2102272727275</v>
      </c>
      <c r="AL179" s="332">
        <v>2518.2102272727275</v>
      </c>
      <c r="AM179" s="332">
        <v>7050.9886363636369</v>
      </c>
      <c r="AN179" s="332">
        <v>4029.136363636364</v>
      </c>
      <c r="AO179" s="332">
        <v>4029.136363636364</v>
      </c>
      <c r="AP179" s="333">
        <f t="shared" si="77"/>
        <v>3357.613636363636</v>
      </c>
      <c r="AQ179" s="333">
        <v>3357.613636363636</v>
      </c>
      <c r="AR179" s="333">
        <v>3357.613636363636</v>
      </c>
      <c r="AS179" s="333">
        <v>3357.613636363636</v>
      </c>
      <c r="AT179" s="333">
        <v>3357.613636363636</v>
      </c>
      <c r="AU179" s="333">
        <v>3357.613636363636</v>
      </c>
      <c r="AV179" s="334">
        <f t="shared" si="75"/>
        <v>20145.681818181816</v>
      </c>
      <c r="AW179" s="334">
        <f t="shared" si="78"/>
        <v>20145.681818181816</v>
      </c>
      <c r="AX179" s="334">
        <f t="shared" si="76"/>
        <v>0</v>
      </c>
      <c r="AY179" s="334">
        <f t="shared" si="79"/>
        <v>20145.681818181816</v>
      </c>
      <c r="AZ179" s="335"/>
    </row>
    <row r="180" spans="23:52" ht="124">
      <c r="W180" s="323" t="s">
        <v>421</v>
      </c>
      <c r="X180" s="324"/>
      <c r="Y180" s="323"/>
      <c r="Z180" s="325" t="s">
        <v>428</v>
      </c>
      <c r="AA180" s="326" t="s">
        <v>78</v>
      </c>
      <c r="AB180" s="327"/>
      <c r="AC180" s="327"/>
      <c r="AD180" s="327"/>
      <c r="AE180" s="327"/>
      <c r="AF180" s="328" t="s">
        <v>472</v>
      </c>
      <c r="AG180" s="329">
        <v>15</v>
      </c>
      <c r="AH180" s="330">
        <v>1363.090909090909</v>
      </c>
      <c r="AI180" s="330">
        <f t="shared" si="74"/>
        <v>20446.363636363636</v>
      </c>
      <c r="AJ180" s="331"/>
      <c r="AK180" s="332">
        <v>0</v>
      </c>
      <c r="AL180" s="332">
        <v>0</v>
      </c>
      <c r="AM180" s="332">
        <v>0</v>
      </c>
      <c r="AN180" s="332">
        <v>20446.363636363636</v>
      </c>
      <c r="AO180" s="332">
        <v>0</v>
      </c>
      <c r="AP180" s="333">
        <f t="shared" si="77"/>
        <v>3407.7272727272725</v>
      </c>
      <c r="AQ180" s="333">
        <v>3407.7272727272725</v>
      </c>
      <c r="AR180" s="333">
        <v>3407.7272727272725</v>
      </c>
      <c r="AS180" s="333">
        <v>3407.7272727272725</v>
      </c>
      <c r="AT180" s="333">
        <v>3407.7272727272725</v>
      </c>
      <c r="AU180" s="333">
        <v>3407.7272727272725</v>
      </c>
      <c r="AV180" s="334">
        <f t="shared" si="75"/>
        <v>20446.363636363636</v>
      </c>
      <c r="AW180" s="334">
        <f t="shared" si="78"/>
        <v>20446.363636363636</v>
      </c>
      <c r="AX180" s="334">
        <f t="shared" si="76"/>
        <v>0</v>
      </c>
      <c r="AY180" s="334">
        <f t="shared" si="79"/>
        <v>20446.363636363636</v>
      </c>
      <c r="AZ180" s="335"/>
    </row>
    <row r="181" spans="23:52" ht="124">
      <c r="W181" s="323" t="s">
        <v>421</v>
      </c>
      <c r="X181" s="324"/>
      <c r="Y181" s="323"/>
      <c r="Z181" s="325" t="s">
        <v>429</v>
      </c>
      <c r="AA181" s="326" t="s">
        <v>78</v>
      </c>
      <c r="AB181" s="327"/>
      <c r="AC181" s="327"/>
      <c r="AD181" s="327"/>
      <c r="AE181" s="327"/>
      <c r="AF181" s="328" t="s">
        <v>472</v>
      </c>
      <c r="AG181" s="329">
        <v>15</v>
      </c>
      <c r="AH181" s="330">
        <v>1072.4318181818182</v>
      </c>
      <c r="AI181" s="330">
        <f t="shared" si="74"/>
        <v>16086.477272727274</v>
      </c>
      <c r="AJ181" s="331"/>
      <c r="AK181" s="332">
        <v>2010.809659090909</v>
      </c>
      <c r="AL181" s="332">
        <v>2010.809659090909</v>
      </c>
      <c r="AM181" s="332">
        <v>5630.267045454545</v>
      </c>
      <c r="AN181" s="332">
        <v>3217.2954545454545</v>
      </c>
      <c r="AO181" s="332">
        <v>3217.2954545454545</v>
      </c>
      <c r="AP181" s="333">
        <f t="shared" si="77"/>
        <v>2681.0795454545455</v>
      </c>
      <c r="AQ181" s="333">
        <v>2681.0795454545455</v>
      </c>
      <c r="AR181" s="333">
        <v>2681.0795454545455</v>
      </c>
      <c r="AS181" s="333">
        <v>2681.0795454545455</v>
      </c>
      <c r="AT181" s="333">
        <v>2681.0795454545455</v>
      </c>
      <c r="AU181" s="333">
        <v>2681.0795454545455</v>
      </c>
      <c r="AV181" s="334">
        <f t="shared" si="75"/>
        <v>16086.477272727274</v>
      </c>
      <c r="AW181" s="334">
        <f t="shared" si="78"/>
        <v>16086.477272727274</v>
      </c>
      <c r="AX181" s="334">
        <f t="shared" si="76"/>
        <v>0</v>
      </c>
      <c r="AY181" s="334">
        <f t="shared" si="79"/>
        <v>16086.477272727274</v>
      </c>
      <c r="AZ181" s="335"/>
    </row>
    <row r="182" spans="23:52" ht="77.5">
      <c r="W182" s="323" t="s">
        <v>421</v>
      </c>
      <c r="X182" s="324"/>
      <c r="Y182" s="323"/>
      <c r="Z182" s="325" t="s">
        <v>430</v>
      </c>
      <c r="AA182" s="326" t="s">
        <v>78</v>
      </c>
      <c r="AB182" s="327"/>
      <c r="AC182" s="327"/>
      <c r="AD182" s="327"/>
      <c r="AE182" s="327"/>
      <c r="AF182" s="328" t="s">
        <v>472</v>
      </c>
      <c r="AG182" s="329">
        <v>15</v>
      </c>
      <c r="AH182" s="330">
        <v>3046.909090909091</v>
      </c>
      <c r="AI182" s="330">
        <f t="shared" si="74"/>
        <v>45703.636363636368</v>
      </c>
      <c r="AJ182" s="331"/>
      <c r="AK182" s="332">
        <v>2285.181818181818</v>
      </c>
      <c r="AL182" s="332">
        <v>4570.363636363636</v>
      </c>
      <c r="AM182" s="332">
        <v>36562.909090909088</v>
      </c>
      <c r="AN182" s="332">
        <v>2285.181818181818</v>
      </c>
      <c r="AO182" s="332"/>
      <c r="AP182" s="333">
        <f t="shared" si="77"/>
        <v>7617.2727272727279</v>
      </c>
      <c r="AQ182" s="333">
        <v>7617.2727272727279</v>
      </c>
      <c r="AR182" s="333">
        <v>7617.2727272727279</v>
      </c>
      <c r="AS182" s="333">
        <v>7617.2727272727279</v>
      </c>
      <c r="AT182" s="333">
        <v>7617.2727272727279</v>
      </c>
      <c r="AU182" s="333">
        <v>7617.2727272727279</v>
      </c>
      <c r="AV182" s="334">
        <f t="shared" si="75"/>
        <v>45703.636363636368</v>
      </c>
      <c r="AW182" s="334">
        <f t="shared" si="78"/>
        <v>45703.636363636368</v>
      </c>
      <c r="AX182" s="334">
        <f t="shared" si="76"/>
        <v>0</v>
      </c>
      <c r="AY182" s="334">
        <f t="shared" si="79"/>
        <v>45703.636363636368</v>
      </c>
      <c r="AZ182" s="335"/>
    </row>
    <row r="183" spans="23:52" ht="77.5">
      <c r="W183" s="323" t="s">
        <v>421</v>
      </c>
      <c r="X183" s="324"/>
      <c r="Y183" s="323"/>
      <c r="Z183" s="325" t="s">
        <v>431</v>
      </c>
      <c r="AA183" s="326" t="s">
        <v>78</v>
      </c>
      <c r="AB183" s="327"/>
      <c r="AC183" s="327"/>
      <c r="AD183" s="327"/>
      <c r="AE183" s="327"/>
      <c r="AF183" s="328" t="s">
        <v>472</v>
      </c>
      <c r="AG183" s="329">
        <v>15</v>
      </c>
      <c r="AH183" s="330">
        <v>801.81818181818187</v>
      </c>
      <c r="AI183" s="330">
        <f t="shared" si="74"/>
        <v>12027.272727272728</v>
      </c>
      <c r="AJ183" s="331"/>
      <c r="AK183" s="332">
        <v>962.18181818181824</v>
      </c>
      <c r="AL183" s="332">
        <v>962.18181818181824</v>
      </c>
      <c r="AM183" s="332">
        <v>2886.5454545454545</v>
      </c>
      <c r="AN183" s="332">
        <v>1202.7272727272727</v>
      </c>
      <c r="AO183" s="332">
        <v>6013.636363636364</v>
      </c>
      <c r="AP183" s="333">
        <f t="shared" si="77"/>
        <v>2004.5454545454547</v>
      </c>
      <c r="AQ183" s="333">
        <v>2004.5454545454547</v>
      </c>
      <c r="AR183" s="333">
        <v>2004.5454545454547</v>
      </c>
      <c r="AS183" s="333">
        <v>2004.5454545454547</v>
      </c>
      <c r="AT183" s="333">
        <v>2004.5454545454547</v>
      </c>
      <c r="AU183" s="333">
        <v>2004.5454545454547</v>
      </c>
      <c r="AV183" s="334">
        <f t="shared" si="75"/>
        <v>12027.272727272728</v>
      </c>
      <c r="AW183" s="334">
        <f t="shared" si="78"/>
        <v>12027.272727272728</v>
      </c>
      <c r="AX183" s="334">
        <f t="shared" si="76"/>
        <v>0</v>
      </c>
      <c r="AY183" s="334">
        <f t="shared" si="79"/>
        <v>12027.272727272728</v>
      </c>
      <c r="AZ183" s="335"/>
    </row>
    <row r="184" spans="23:52" ht="77.5">
      <c r="W184" s="323" t="s">
        <v>421</v>
      </c>
      <c r="X184" s="324"/>
      <c r="Y184" s="323"/>
      <c r="Z184" s="325" t="s">
        <v>432</v>
      </c>
      <c r="AA184" s="326" t="s">
        <v>78</v>
      </c>
      <c r="AB184" s="327"/>
      <c r="AC184" s="327"/>
      <c r="AD184" s="327"/>
      <c r="AE184" s="327"/>
      <c r="AF184" s="328" t="s">
        <v>472</v>
      </c>
      <c r="AG184" s="329">
        <v>15</v>
      </c>
      <c r="AH184" s="330">
        <v>781.77272727272725</v>
      </c>
      <c r="AI184" s="330">
        <f t="shared" si="74"/>
        <v>11726.590909090908</v>
      </c>
      <c r="AJ184" s="331"/>
      <c r="AK184" s="332">
        <v>938.12727272727284</v>
      </c>
      <c r="AL184" s="332">
        <v>938.12727272727284</v>
      </c>
      <c r="AM184" s="332">
        <v>2814.3818181818183</v>
      </c>
      <c r="AN184" s="332">
        <v>1172.659090909091</v>
      </c>
      <c r="AO184" s="332">
        <v>5863.295454545455</v>
      </c>
      <c r="AP184" s="333">
        <f t="shared" si="77"/>
        <v>1954.431818181818</v>
      </c>
      <c r="AQ184" s="333">
        <v>1954.431818181818</v>
      </c>
      <c r="AR184" s="333">
        <v>1954.431818181818</v>
      </c>
      <c r="AS184" s="333">
        <v>1954.431818181818</v>
      </c>
      <c r="AT184" s="333">
        <v>1954.431818181818</v>
      </c>
      <c r="AU184" s="333">
        <v>1954.431818181818</v>
      </c>
      <c r="AV184" s="334">
        <f t="shared" si="75"/>
        <v>11726.590909090908</v>
      </c>
      <c r="AW184" s="334">
        <f t="shared" si="78"/>
        <v>11726.590909090908</v>
      </c>
      <c r="AX184" s="334">
        <f t="shared" si="76"/>
        <v>0</v>
      </c>
      <c r="AY184" s="334">
        <f t="shared" si="79"/>
        <v>11726.590909090908</v>
      </c>
      <c r="AZ184" s="335"/>
    </row>
    <row r="185" spans="23:52" ht="77.5">
      <c r="W185" s="323" t="s">
        <v>421</v>
      </c>
      <c r="X185" s="324"/>
      <c r="Y185" s="323"/>
      <c r="Z185" s="325" t="s">
        <v>433</v>
      </c>
      <c r="AA185" s="325" t="s">
        <v>78</v>
      </c>
      <c r="AB185" s="327"/>
      <c r="AC185" s="327"/>
      <c r="AD185" s="327"/>
      <c r="AE185" s="327"/>
      <c r="AF185" s="328" t="s">
        <v>472</v>
      </c>
      <c r="AG185" s="329">
        <v>15</v>
      </c>
      <c r="AH185" s="330">
        <v>1454.5454545454545</v>
      </c>
      <c r="AI185" s="330">
        <f t="shared" si="74"/>
        <v>21818.181818181816</v>
      </c>
      <c r="AJ185" s="331"/>
      <c r="AK185" s="332">
        <v>3490.9090909090914</v>
      </c>
      <c r="AL185" s="332">
        <v>3490.9090909090914</v>
      </c>
      <c r="AM185" s="332">
        <v>10472.727272727274</v>
      </c>
      <c r="AN185" s="332">
        <v>4363.636363636364</v>
      </c>
      <c r="AO185" s="332">
        <v>0</v>
      </c>
      <c r="AP185" s="333">
        <f t="shared" si="77"/>
        <v>3636.363636363636</v>
      </c>
      <c r="AQ185" s="333">
        <v>3636.363636363636</v>
      </c>
      <c r="AR185" s="333">
        <v>3636.363636363636</v>
      </c>
      <c r="AS185" s="333">
        <v>3636.363636363636</v>
      </c>
      <c r="AT185" s="333">
        <v>3636.363636363636</v>
      </c>
      <c r="AU185" s="333">
        <v>3636.363636363636</v>
      </c>
      <c r="AV185" s="334">
        <f t="shared" si="75"/>
        <v>21818.181818181816</v>
      </c>
      <c r="AW185" s="334">
        <f t="shared" si="78"/>
        <v>21818.181818181816</v>
      </c>
      <c r="AX185" s="334">
        <f t="shared" si="76"/>
        <v>0</v>
      </c>
      <c r="AY185" s="334">
        <f t="shared" si="79"/>
        <v>21818.181818181816</v>
      </c>
      <c r="AZ185" s="335"/>
    </row>
    <row r="186" spans="23:52" ht="77.5">
      <c r="W186" s="323" t="s">
        <v>421</v>
      </c>
      <c r="X186" s="324"/>
      <c r="Y186" s="323"/>
      <c r="Z186" s="337" t="s">
        <v>434</v>
      </c>
      <c r="AA186" s="325" t="s">
        <v>78</v>
      </c>
      <c r="AB186" s="327"/>
      <c r="AC186" s="327"/>
      <c r="AD186" s="327"/>
      <c r="AE186" s="327"/>
      <c r="AF186" s="328" t="s">
        <v>472</v>
      </c>
      <c r="AG186" s="329">
        <v>15</v>
      </c>
      <c r="AH186" s="330">
        <v>1545.4545454545455</v>
      </c>
      <c r="AI186" s="330">
        <f t="shared" si="74"/>
        <v>23181.818181818184</v>
      </c>
      <c r="AJ186" s="331"/>
      <c r="AK186" s="332">
        <v>3477.272727272727</v>
      </c>
      <c r="AL186" s="332">
        <v>3477.272727272727</v>
      </c>
      <c r="AM186" s="332">
        <v>11590.90909090909</v>
      </c>
      <c r="AN186" s="332">
        <v>4636.363636363636</v>
      </c>
      <c r="AO186" s="332">
        <v>0</v>
      </c>
      <c r="AP186" s="333">
        <f t="shared" si="77"/>
        <v>3863.636363636364</v>
      </c>
      <c r="AQ186" s="333">
        <v>3863.636363636364</v>
      </c>
      <c r="AR186" s="333">
        <v>3863.636363636364</v>
      </c>
      <c r="AS186" s="333">
        <v>3863.636363636364</v>
      </c>
      <c r="AT186" s="333">
        <v>3863.636363636364</v>
      </c>
      <c r="AU186" s="333">
        <v>3863.636363636364</v>
      </c>
      <c r="AV186" s="334">
        <f t="shared" si="75"/>
        <v>23181.818181818184</v>
      </c>
      <c r="AW186" s="334">
        <f t="shared" si="78"/>
        <v>23181.818181818184</v>
      </c>
      <c r="AX186" s="334">
        <f t="shared" si="76"/>
        <v>0</v>
      </c>
      <c r="AY186" s="334">
        <f t="shared" si="79"/>
        <v>23181.818181818184</v>
      </c>
      <c r="AZ186" s="335"/>
    </row>
    <row r="187" spans="23:52" ht="46.5">
      <c r="W187" s="323" t="s">
        <v>421</v>
      </c>
      <c r="X187" s="324"/>
      <c r="Y187" s="323"/>
      <c r="Z187" s="326" t="s">
        <v>435</v>
      </c>
      <c r="AA187" s="326" t="s">
        <v>78</v>
      </c>
      <c r="AB187" s="327"/>
      <c r="AC187" s="327"/>
      <c r="AD187" s="327"/>
      <c r="AE187" s="327"/>
      <c r="AF187" s="328" t="s">
        <v>472</v>
      </c>
      <c r="AG187" s="329">
        <v>15</v>
      </c>
      <c r="AH187" s="330">
        <v>1050</v>
      </c>
      <c r="AI187" s="330">
        <f t="shared" si="74"/>
        <v>15750</v>
      </c>
      <c r="AJ187" s="331"/>
      <c r="AK187" s="332">
        <v>1260</v>
      </c>
      <c r="AL187" s="332">
        <v>1260</v>
      </c>
      <c r="AM187" s="332">
        <v>3780</v>
      </c>
      <c r="AN187" s="332">
        <v>1575</v>
      </c>
      <c r="AO187" s="332">
        <v>7875</v>
      </c>
      <c r="AP187" s="333">
        <f t="shared" si="77"/>
        <v>2625</v>
      </c>
      <c r="AQ187" s="333">
        <v>2625</v>
      </c>
      <c r="AR187" s="333">
        <v>2625</v>
      </c>
      <c r="AS187" s="333">
        <v>2625</v>
      </c>
      <c r="AT187" s="333">
        <v>2625</v>
      </c>
      <c r="AU187" s="333">
        <v>2625</v>
      </c>
      <c r="AV187" s="334">
        <f t="shared" si="75"/>
        <v>15750</v>
      </c>
      <c r="AW187" s="334">
        <f t="shared" si="78"/>
        <v>15750</v>
      </c>
      <c r="AX187" s="334">
        <f t="shared" si="76"/>
        <v>0</v>
      </c>
      <c r="AY187" s="334">
        <f t="shared" si="79"/>
        <v>15750</v>
      </c>
      <c r="AZ187" s="335"/>
    </row>
    <row r="188" spans="23:52" ht="31">
      <c r="W188" s="323" t="s">
        <v>421</v>
      </c>
      <c r="X188" s="324"/>
      <c r="Y188" s="323"/>
      <c r="Z188" s="326" t="s">
        <v>436</v>
      </c>
      <c r="AA188" s="326" t="s">
        <v>78</v>
      </c>
      <c r="AB188" s="327"/>
      <c r="AC188" s="327"/>
      <c r="AD188" s="327"/>
      <c r="AE188" s="327"/>
      <c r="AF188" s="328" t="s">
        <v>472</v>
      </c>
      <c r="AG188" s="329">
        <v>15</v>
      </c>
      <c r="AH188" s="330">
        <v>1050</v>
      </c>
      <c r="AI188" s="330">
        <f t="shared" si="74"/>
        <v>15750</v>
      </c>
      <c r="AJ188" s="331"/>
      <c r="AK188" s="332">
        <v>7875</v>
      </c>
      <c r="AL188" s="332">
        <v>1575</v>
      </c>
      <c r="AM188" s="332">
        <v>3150</v>
      </c>
      <c r="AN188" s="332">
        <v>787.5</v>
      </c>
      <c r="AO188" s="332">
        <v>2362.5</v>
      </c>
      <c r="AP188" s="333">
        <f t="shared" si="77"/>
        <v>2625</v>
      </c>
      <c r="AQ188" s="333">
        <v>2625</v>
      </c>
      <c r="AR188" s="333">
        <v>2625</v>
      </c>
      <c r="AS188" s="333">
        <v>2625</v>
      </c>
      <c r="AT188" s="333">
        <v>2625</v>
      </c>
      <c r="AU188" s="333">
        <v>2625</v>
      </c>
      <c r="AV188" s="334">
        <f t="shared" si="75"/>
        <v>15750</v>
      </c>
      <c r="AW188" s="334">
        <f t="shared" si="78"/>
        <v>15750</v>
      </c>
      <c r="AX188" s="334">
        <f t="shared" si="76"/>
        <v>0</v>
      </c>
      <c r="AY188" s="334">
        <f t="shared" si="79"/>
        <v>15750</v>
      </c>
      <c r="AZ188" s="335"/>
    </row>
    <row r="189" spans="23:52" ht="62">
      <c r="W189" s="316"/>
      <c r="X189" s="317"/>
      <c r="Y189" s="316"/>
      <c r="Z189" s="316" t="s">
        <v>473</v>
      </c>
      <c r="AA189" s="316"/>
      <c r="AB189" s="316"/>
      <c r="AC189" s="316"/>
      <c r="AD189" s="316"/>
      <c r="AE189" s="316"/>
      <c r="AF189" s="318"/>
      <c r="AG189" s="319"/>
      <c r="AH189" s="320"/>
      <c r="AI189" s="320">
        <f>AI191+AI215+AI229+AI280</f>
        <v>0</v>
      </c>
      <c r="AJ189" s="321"/>
      <c r="AK189" s="320">
        <f t="shared" ref="AK189:AZ189" si="80">AK191+AK215+AK229+AK280</f>
        <v>0</v>
      </c>
      <c r="AL189" s="320">
        <f t="shared" si="80"/>
        <v>0</v>
      </c>
      <c r="AM189" s="320">
        <f t="shared" si="80"/>
        <v>0</v>
      </c>
      <c r="AN189" s="320">
        <f t="shared" si="80"/>
        <v>0</v>
      </c>
      <c r="AO189" s="320">
        <f t="shared" si="80"/>
        <v>0</v>
      </c>
      <c r="AP189" s="320">
        <f t="shared" si="80"/>
        <v>0</v>
      </c>
      <c r="AQ189" s="320">
        <f t="shared" si="80"/>
        <v>0</v>
      </c>
      <c r="AR189" s="320">
        <f t="shared" si="80"/>
        <v>0</v>
      </c>
      <c r="AS189" s="320">
        <f t="shared" si="80"/>
        <v>0</v>
      </c>
      <c r="AT189" s="320">
        <f t="shared" si="80"/>
        <v>0</v>
      </c>
      <c r="AU189" s="320">
        <f t="shared" si="80"/>
        <v>0</v>
      </c>
      <c r="AV189" s="320">
        <f t="shared" si="80"/>
        <v>0</v>
      </c>
      <c r="AW189" s="320">
        <f t="shared" si="80"/>
        <v>0</v>
      </c>
      <c r="AX189" s="320">
        <f t="shared" si="80"/>
        <v>0</v>
      </c>
      <c r="AY189" s="320">
        <f t="shared" si="80"/>
        <v>0</v>
      </c>
      <c r="AZ189" s="322">
        <f t="shared" si="80"/>
        <v>0</v>
      </c>
    </row>
  </sheetData>
  <sheetProtection algorithmName="SHA-512" hashValue="w8gxfWsHDqKFAVmI1N3eaWp0swkbC/1W9sVcyQ6s9b+t1FRMLp83c80Fi0Fz9FJzhKEUKYz5p5C0c6EMdqbEMg==" saltValue="bG8wJ2Pn7YHIHclE7zxBxQ==" spinCount="100000" sheet="1" formatCells="0" formatColumns="0" formatRows="0" insertRows="0" deleteRows="0" selectLockedCells="1" sort="0"/>
  <mergeCells count="57">
    <mergeCell ref="Q3:Q4"/>
    <mergeCell ref="R3:S3"/>
    <mergeCell ref="A8:A17"/>
    <mergeCell ref="P8:P16"/>
    <mergeCell ref="Q8:Q28"/>
    <mergeCell ref="A19:A20"/>
    <mergeCell ref="P19:P28"/>
    <mergeCell ref="A21:A25"/>
    <mergeCell ref="A26:A29"/>
    <mergeCell ref="B3:B4"/>
    <mergeCell ref="D3:D4"/>
    <mergeCell ref="M3:M4"/>
    <mergeCell ref="N3:N4"/>
    <mergeCell ref="O3:O4"/>
    <mergeCell ref="P3:P4"/>
    <mergeCell ref="A32:A35"/>
    <mergeCell ref="P32:P34"/>
    <mergeCell ref="Q32:Q44"/>
    <mergeCell ref="A37:A41"/>
    <mergeCell ref="P37:P44"/>
    <mergeCell ref="A42:A45"/>
    <mergeCell ref="A48:A54"/>
    <mergeCell ref="P48:P65"/>
    <mergeCell ref="Q48:Q92"/>
    <mergeCell ref="A55:A59"/>
    <mergeCell ref="A60:A66"/>
    <mergeCell ref="A68:A72"/>
    <mergeCell ref="P68:P82"/>
    <mergeCell ref="A73:A78"/>
    <mergeCell ref="A79:A83"/>
    <mergeCell ref="A85:A88"/>
    <mergeCell ref="Z170:Z171"/>
    <mergeCell ref="P85:P92"/>
    <mergeCell ref="A89:A93"/>
    <mergeCell ref="A96:A99"/>
    <mergeCell ref="P96:P104"/>
    <mergeCell ref="Q96:Q125"/>
    <mergeCell ref="A100:A105"/>
    <mergeCell ref="A107:A117"/>
    <mergeCell ref="P107:P116"/>
    <mergeCell ref="A119:A126"/>
    <mergeCell ref="P119:P125"/>
    <mergeCell ref="A129:A143"/>
    <mergeCell ref="E165:H165"/>
    <mergeCell ref="W170:W171"/>
    <mergeCell ref="X170:X171"/>
    <mergeCell ref="Y170:Y171"/>
    <mergeCell ref="AK170:AO170"/>
    <mergeCell ref="AP170:AV170"/>
    <mergeCell ref="AW170:AY170"/>
    <mergeCell ref="AZ170:AZ171"/>
    <mergeCell ref="AA170:AA171"/>
    <mergeCell ref="AB170:AE170"/>
    <mergeCell ref="AF170:AF171"/>
    <mergeCell ref="AG170:AG171"/>
    <mergeCell ref="AH170:AH171"/>
    <mergeCell ref="AI170:AI171"/>
  </mergeCells>
  <conditionalFormatting sqref="D48">
    <cfRule type="cellIs" priority="18" operator="greaterThan">
      <formula>0</formula>
    </cfRule>
  </conditionalFormatting>
  <conditionalFormatting sqref="D68:D69">
    <cfRule type="cellIs" priority="11" operator="greaterThan">
      <formula>0</formula>
    </cfRule>
  </conditionalFormatting>
  <conditionalFormatting sqref="D73:D75">
    <cfRule type="cellIs" priority="16" operator="greaterThan">
      <formula>0</formula>
    </cfRule>
  </conditionalFormatting>
  <conditionalFormatting sqref="D79:D80">
    <cfRule type="cellIs" priority="5" operator="greaterThan">
      <formula>0</formula>
    </cfRule>
  </conditionalFormatting>
  <conditionalFormatting sqref="D85:D86">
    <cfRule type="cellIs" priority="4" operator="greaterThan">
      <formula>0</formula>
    </cfRule>
  </conditionalFormatting>
  <conditionalFormatting sqref="D89:D90">
    <cfRule type="cellIs" priority="3" operator="greaterThan">
      <formula>0</formula>
    </cfRule>
  </conditionalFormatting>
  <conditionalFormatting sqref="D96">
    <cfRule type="cellIs" priority="19" operator="greaterThan">
      <formula>0</formula>
    </cfRule>
  </conditionalFormatting>
  <conditionalFormatting sqref="D100:D102">
    <cfRule type="cellIs" priority="15" operator="greaterThan">
      <formula>0</formula>
    </cfRule>
  </conditionalFormatting>
  <conditionalFormatting sqref="D107:D114">
    <cfRule type="cellIs" priority="2" operator="greaterThan">
      <formula>0</formula>
    </cfRule>
  </conditionalFormatting>
  <conditionalFormatting sqref="D119">
    <cfRule type="cellIs" priority="1" operator="greaterThan">
      <formula>0</formula>
    </cfRule>
  </conditionalFormatting>
  <pageMargins left="0.75" right="0.75" top="1" bottom="1" header="0.5" footer="0.5"/>
  <pageSetup orientation="portrait" horizontalDpi="300" r:id="rId1"/>
  <ignoredErrors>
    <ignoredError sqref="J20 J25 J41 J54 J88 J99"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EFDocs Content Type" ma:contentTypeID="0x0101005101ED6C71579D4286D4EBB25C8112DE00417BCACA8F8874439B1E659B5A781C98" ma:contentTypeVersion="13" ma:contentTypeDescription="" ma:contentTypeScope="" ma:versionID="ed0363ba3e2d8c1233f3eeae2a37ac03">
  <xsd:schema xmlns:xsd="http://www.w3.org/2001/XMLSchema" xmlns:xs="http://www.w3.org/2001/XMLSchema" xmlns:p="http://schemas.microsoft.com/office/2006/metadata/properties" xmlns:ns2="b8caa731-411c-4ce8-a2a6-5b517e250d33" xmlns:ns3="3e02667f-0271-471b-bd6e-11a2e16def1d" targetNamespace="http://schemas.microsoft.com/office/2006/metadata/properties" ma:root="true" ma:fieldsID="2d5c2f6914133d69b799c17fd95c31a9" ns2:_="" ns3:_="">
    <xsd:import namespace="b8caa731-411c-4ce8-a2a6-5b517e250d33"/>
    <xsd:import namespace="3e02667f-0271-471b-bd6e-11a2e16def1d"/>
    <xsd:element name="properties">
      <xsd:complexType>
        <xsd:sequence>
          <xsd:element name="documentManagement">
            <xsd:complexType>
              <xsd:all>
                <xsd:element ref="ns2:GEFID" minOccurs="0"/>
                <xsd:element ref="ns2:ProjectTitle" minOccurs="0"/>
                <xsd:element ref="ns2:ProjectType" minOccurs="0"/>
                <xsd:element ref="ns2:ProjectTypeSubType1" minOccurs="0"/>
                <xsd:element ref="ns2:ProjectTypeSubType2" minOccurs="0"/>
                <xsd:element ref="ns2:Phase" minOccurs="0"/>
                <xsd:element ref="ns2:DocClassification" minOccurs="0"/>
                <xsd:element ref="ns2:ProjectStatus" minOccurs="0"/>
                <xsd:element ref="ns2:TrustFund" minOccurs="0"/>
                <xsd:element ref="ns2:FocalArea" minOccurs="0"/>
                <xsd:element ref="ns2:RecordStatus" minOccurs="0"/>
                <xsd:element ref="ns2:DocCategory" minOccurs="0"/>
                <xsd:element ref="ns2:Classification" minOccurs="0"/>
                <xsd:element ref="ns3:Doc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GEFID" ma:index="8" nillable="true" ma:displayName="GEFID" ma:default="" ma:hidden="true" ma:internalName="GEFID0" ma:readOnly="false">
      <xsd:simpleType>
        <xsd:restriction base="dms:Text">
          <xsd:maxLength value="255"/>
        </xsd:restriction>
      </xsd:simpleType>
    </xsd:element>
    <xsd:element name="ProjectTitle" ma:index="9" nillable="true" ma:displayName="ProjectTitle" ma:default="" ma:internalName="ProjectTitle0">
      <xsd:simpleType>
        <xsd:restriction base="dms:Text">
          <xsd:maxLength value="255"/>
        </xsd:restriction>
      </xsd:simpleType>
    </xsd:element>
    <xsd:element name="ProjectType" ma:index="10" nillable="true" ma:displayName="ProjectType" ma:default="" ma:internalName="ProjectType0">
      <xsd:simpleType>
        <xsd:restriction base="dms:Text">
          <xsd:maxLength value="255"/>
        </xsd:restriction>
      </xsd:simpleType>
    </xsd:element>
    <xsd:element name="ProjectTypeSubType1" ma:index="11" nillable="true" ma:displayName="ProjectTypeSubType1" ma:internalName="ProjectTypeSubType1">
      <xsd:simpleType>
        <xsd:restriction base="dms:Text">
          <xsd:maxLength value="255"/>
        </xsd:restriction>
      </xsd:simpleType>
    </xsd:element>
    <xsd:element name="ProjectTypeSubType2" ma:index="12" nillable="true" ma:displayName="ProjectTypeSubType2" ma:internalName="ProjectTypeSubType2">
      <xsd:simpleType>
        <xsd:restriction base="dms:Text">
          <xsd:maxLength value="255"/>
        </xsd:restriction>
      </xsd:simpleType>
    </xsd:element>
    <xsd:element name="Phase" ma:index="13" nillable="true" ma:displayName="Phase" ma:default="" ma:indexed="true" ma:internalName="Phase">
      <xsd:simpleType>
        <xsd:restriction base="dms:Text">
          <xsd:maxLength value="255"/>
        </xsd:restriction>
      </xsd:simpleType>
    </xsd:element>
    <xsd:element name="DocClassification" ma:index="14" nillable="true" ma:displayName="DocClassification" ma:default="" ma:internalName="DocClassification">
      <xsd:simpleType>
        <xsd:restriction base="dms:Text">
          <xsd:maxLength value="255"/>
        </xsd:restriction>
      </xsd:simpleType>
    </xsd:element>
    <xsd:element name="ProjectStatus" ma:index="15" nillable="true" ma:displayName="ProjectStatus" ma:default="" ma:internalName="ProjectStatus">
      <xsd:simpleType>
        <xsd:restriction base="dms:Text">
          <xsd:maxLength value="255"/>
        </xsd:restriction>
      </xsd:simpleType>
    </xsd:element>
    <xsd:element name="TrustFund" ma:index="16" nillable="true" ma:displayName="TrustFund" ma:default="" ma:internalName="TrustFund">
      <xsd:simpleType>
        <xsd:restriction base="dms:Text">
          <xsd:maxLength value="255"/>
        </xsd:restriction>
      </xsd:simpleType>
    </xsd:element>
    <xsd:element name="FocalArea" ma:index="17" nillable="true" ma:displayName="FocalArea" ma:default="" ma:internalName="FocalArea0">
      <xsd:simpleType>
        <xsd:restriction base="dms:Text">
          <xsd:maxLength value="255"/>
        </xsd:restriction>
      </xsd:simpleType>
    </xsd:element>
    <xsd:element name="RecordStatus" ma:index="18" nillable="true" ma:displayName="RecordStatus" ma:default="Active" ma:format="Dropdown" ma:internalName="RecordStatus">
      <xsd:simpleType>
        <xsd:restriction base="dms:Choice">
          <xsd:enumeration value="Active"/>
          <xsd:enumeration value="InActive"/>
        </xsd:restriction>
      </xsd:simpleType>
    </xsd:element>
    <xsd:element name="DocCategory" ma:index="19" nillable="true" ma:displayName="DocCategory" ma:default="" ma:internalName="DocCategory0">
      <xsd:simpleType>
        <xsd:restriction base="dms:Text">
          <xsd:maxLength value="255"/>
        </xsd:restriction>
      </xsd:simpleType>
    </xsd:element>
    <xsd:element name="Classification" ma:index="20" nillable="true" ma:displayName="Classification" ma:default="" ma:internalName="Classification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DocType" ma:index="21" nillable="true" ma:displayName="DocType" ma:list="{2fb91f84-676e-497a-86d6-aa3cc7df6da7}" ma:internalName="DocType0" ma:showField="Title" ma:web="b8caa731-411c-4ce8-a2a6-5b517e250d33">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 xmlns="b8caa731-411c-4ce8-a2a6-5b517e250d33" xsi:nil="true"/>
    <ProjectTypeSubType1 xmlns="b8caa731-411c-4ce8-a2a6-5b517e250d33" xsi:nil="true"/>
    <DocClassification xmlns="b8caa731-411c-4ce8-a2a6-5b517e250d33">Public</DocClassification>
    <DocCategory xmlns="b8caa731-411c-4ce8-a2a6-5b517e250d33" xsi:nil="true"/>
    <DocType xmlns="3e02667f-0271-471b-bd6e-11a2e16def1d" xsi:nil="true"/>
    <FocalArea xmlns="b8caa731-411c-4ce8-a2a6-5b517e250d33" xsi:nil="true"/>
    <ProjectStatus xmlns="b8caa731-411c-4ce8-a2a6-5b517e250d33">Under Implementation</ProjectStatus>
    <RecordStatus xmlns="b8caa731-411c-4ce8-a2a6-5b517e250d33">Active</RecordStatus>
    <GEFID xmlns="b8caa731-411c-4ce8-a2a6-5b517e250d33" xsi:nil="true"/>
    <TrustFund xmlns="b8caa731-411c-4ce8-a2a6-5b517e250d33">GET</TrustFund>
    <Classification xmlns="b8caa731-411c-4ce8-a2a6-5b517e250d33" xsi:nil="true"/>
  </documentManagement>
</p:properties>
</file>

<file path=customXml/item3.xml><?xml version="1.0" encoding="utf-8"?>
<?mso-contentType ?>
<SharedContentType xmlns="Microsoft.SharePoint.Taxonomy.ContentTypeSync" SourceId="599606c3-1701-4786-aebd-51d352341c31" ContentTypeId="0x01010055F5A6F2814CF34AA2DE6515F0F56B4B"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CB915-3108-4B36-8827-7C50E7E00940}"/>
</file>

<file path=customXml/itemProps2.xml><?xml version="1.0" encoding="utf-8"?>
<ds:datastoreItem xmlns:ds="http://schemas.openxmlformats.org/officeDocument/2006/customXml" ds:itemID="{FB5F6FDC-0CA0-4600-8E81-89A8C90910E9}">
  <ds:schemaRefs>
    <ds:schemaRef ds:uri="http://schemas.microsoft.com/office/2006/metadata/properties"/>
    <ds:schemaRef ds:uri="http://schemas.microsoft.com/office/infopath/2007/PartnerControls"/>
    <ds:schemaRef ds:uri="65a2362d-2255-4a0d-88c5-7d64954319e1"/>
    <ds:schemaRef ds:uri="052588a4-be53-4a51-9da2-3157d1e111e9"/>
    <ds:schemaRef ds:uri="1ef47bee-6c02-4356-9c2c-42c7aaab909f"/>
  </ds:schemaRefs>
</ds:datastoreItem>
</file>

<file path=customXml/itemProps3.xml><?xml version="1.0" encoding="utf-8"?>
<ds:datastoreItem xmlns:ds="http://schemas.openxmlformats.org/officeDocument/2006/customXml" ds:itemID="{9F899FA4-2D8A-4FEA-A6A1-B5BFFF4B0964}">
  <ds:schemaRefs>
    <ds:schemaRef ds:uri="Microsoft.SharePoint.Taxonomy.ContentTypeSync"/>
  </ds:schemaRefs>
</ds:datastoreItem>
</file>

<file path=customXml/itemProps4.xml><?xml version="1.0" encoding="utf-8"?>
<ds:datastoreItem xmlns:ds="http://schemas.openxmlformats.org/officeDocument/2006/customXml" ds:itemID="{2D4B2ABC-27D9-4578-8428-6EEFC2AD29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Working sheet 2014</vt:lpstr>
      <vt:lpstr>Guidance</vt:lpstr>
      <vt:lpstr>Snapshot</vt:lpstr>
      <vt:lpstr>Results Framework</vt:lpstr>
      <vt:lpstr>Sheet1</vt:lpstr>
      <vt:lpstr>Sheet2</vt:lpstr>
      <vt:lpstr>AWPB Yr 1 </vt:lpstr>
      <vt:lpstr>AWPB Yr 2</vt:lpstr>
      <vt:lpstr>AWPB Yr 3</vt:lpstr>
      <vt:lpstr>AWPB Yr 4</vt:lpstr>
      <vt:lpstr>AWPB Yr 5</vt:lpstr>
      <vt:lpstr>AWPB Yr 6</vt:lpstr>
      <vt:lpstr>Full Project Workplan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Brianna Weck</cp:lastModifiedBy>
  <cp:revision/>
  <dcterms:created xsi:type="dcterms:W3CDTF">2014-01-08T05:09:00Z</dcterms:created>
  <dcterms:modified xsi:type="dcterms:W3CDTF">2025-09-12T19:23:09Z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0x0101005101ED6C71579D4286D4EBB25C8112DE00417BCACA8F8874439B1E659B5A781C98</vt:lpwstr>
  </property>
  <property fmtid="{D5CDD505-2E9C-101B-9397-08002B2CF9AE}" pid="3" name="KSOProductBuildVer">
    <vt:lpwstr>1033-11.2.0.11210</vt:lpwstr>
  </property>
  <property fmtid="{D5CDD505-2E9C-101B-9397-08002B2CF9AE}" pid="4" name="ICV">
    <vt:lpwstr>A3A968443BBD4A2F9A255B5BCFEB237F</vt:lpwstr>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Region">
    <vt:lpwstr/>
  </property>
  <property fmtid="{D5CDD505-2E9C-101B-9397-08002B2CF9AE}" pid="13" name="GEF_x0020_Project_x0020_Number0">
    <vt:lpwstr/>
  </property>
  <property fmtid="{D5CDD505-2E9C-101B-9397-08002B2CF9AE}" pid="14" name="GEF_x0020_Funding_x0020_Period">
    <vt:lpwstr/>
  </property>
  <property fmtid="{D5CDD505-2E9C-101B-9397-08002B2CF9AE}" pid="15" name="Country Office">
    <vt:lpwstr/>
  </property>
  <property fmtid="{D5CDD505-2E9C-101B-9397-08002B2CF9AE}" pid="16" name="GEF Funding Period">
    <vt:lpwstr/>
  </property>
  <property fmtid="{D5CDD505-2E9C-101B-9397-08002B2CF9AE}" pid="17" name="Region/Country">
    <vt:lpwstr/>
  </property>
  <property fmtid="{D5CDD505-2E9C-101B-9397-08002B2CF9AE}" pid="18" name="GEF_x0020_Document_x0020_Status">
    <vt:lpwstr>17;#Draft|c0bbbd20-8876-4767-9e2b-3e3d68e5083c</vt:lpwstr>
  </property>
  <property fmtid="{D5CDD505-2E9C-101B-9397-08002B2CF9AE}" pid="19" name="GEF_x0020_Project_x0020_Number">
    <vt:lpwstr/>
  </property>
  <property fmtid="{D5CDD505-2E9C-101B-9397-08002B2CF9AE}" pid="20" name="Practices">
    <vt:lpwstr/>
  </property>
  <property fmtid="{D5CDD505-2E9C-101B-9397-08002B2CF9AE}" pid="21" name="Document_x0020_Status">
    <vt:lpwstr/>
  </property>
  <property fmtid="{D5CDD505-2E9C-101B-9397-08002B2CF9AE}" pid="22" name="WWF Project Number">
    <vt:lpwstr/>
  </property>
  <property fmtid="{D5CDD505-2E9C-101B-9397-08002B2CF9AE}" pid="23" name="Document Status">
    <vt:lpwstr/>
  </property>
  <property fmtid="{D5CDD505-2E9C-101B-9397-08002B2CF9AE}" pid="24" name="Calendar_x0020_Year">
    <vt:lpwstr>123;#2025|61557a1e-f131-4541-9543-d78a9cd50514</vt:lpwstr>
  </property>
  <property fmtid="{D5CDD505-2E9C-101B-9397-08002B2CF9AE}" pid="25" name="WWF Project Number0">
    <vt:lpwstr/>
  </property>
  <property fmtid="{D5CDD505-2E9C-101B-9397-08002B2CF9AE}" pid="26" name="Document Type">
    <vt:lpwstr/>
  </property>
  <property fmtid="{D5CDD505-2E9C-101B-9397-08002B2CF9AE}" pid="27" name="Fiscal Year mm">
    <vt:lpwstr>200;#2026|7dcddd7c-9eea-4d0c-a630-f922c222610e</vt:lpwstr>
  </property>
  <property fmtid="{D5CDD505-2E9C-101B-9397-08002B2CF9AE}" pid="28" name="Project Doc Type">
    <vt:lpwstr/>
  </property>
  <property fmtid="{D5CDD505-2E9C-101B-9397-08002B2CF9AE}" pid="29" name="Goal1">
    <vt:lpwstr/>
  </property>
  <property fmtid="{D5CDD505-2E9C-101B-9397-08002B2CF9AE}" pid="30" name="Calendar Year">
    <vt:lpwstr>123;#2025|61557a1e-f131-4541-9543-d78a9cd50514</vt:lpwstr>
  </property>
  <property fmtid="{D5CDD505-2E9C-101B-9397-08002B2CF9AE}" pid="31" name="Project_x0020_Doc_x0020_Type">
    <vt:lpwstr/>
  </property>
  <property fmtid="{D5CDD505-2E9C-101B-9397-08002B2CF9AE}" pid="32" name="GEF Project Number0">
    <vt:lpwstr/>
  </property>
  <property fmtid="{D5CDD505-2E9C-101B-9397-08002B2CF9AE}" pid="33" name="WWF_x0020_Project_x0020_Number">
    <vt:lpwstr/>
  </property>
  <property fmtid="{D5CDD505-2E9C-101B-9397-08002B2CF9AE}" pid="34" name="GEF Project Number">
    <vt:lpwstr/>
  </property>
  <property fmtid="{D5CDD505-2E9C-101B-9397-08002B2CF9AE}" pid="35" name="WWF_x0020_Project_x0020_Number0">
    <vt:lpwstr/>
  </property>
  <property fmtid="{D5CDD505-2E9C-101B-9397-08002B2CF9AE}" pid="36" name="Region_x002F_Country">
    <vt:lpwstr/>
  </property>
  <property fmtid="{D5CDD505-2E9C-101B-9397-08002B2CF9AE}" pid="37" name="Country_x0020_Office">
    <vt:lpwstr/>
  </property>
  <property fmtid="{D5CDD505-2E9C-101B-9397-08002B2CF9AE}" pid="38" name="Fiscal_x0020_Year_x0020_mm">
    <vt:lpwstr>200;#2026|7dcddd7c-9eea-4d0c-a630-f922c222610e</vt:lpwstr>
  </property>
  <property fmtid="{D5CDD505-2E9C-101B-9397-08002B2CF9AE}" pid="39" name="Countries">
    <vt:lpwstr/>
  </property>
  <property fmtid="{D5CDD505-2E9C-101B-9397-08002B2CF9AE}" pid="40" name="Order">
    <vt:r8>9016900</vt:r8>
  </property>
  <property fmtid="{D5CDD505-2E9C-101B-9397-08002B2CF9AE}" pid="41" name="Document_x0020_Type">
    <vt:lpwstr/>
  </property>
  <property fmtid="{D5CDD505-2E9C-101B-9397-08002B2CF9AE}" pid="42" name="GEF Document Status">
    <vt:lpwstr>17;#Draft|c0bbbd20-8876-4767-9e2b-3e3d68e5083c</vt:lpwstr>
  </property>
  <property fmtid="{D5CDD505-2E9C-101B-9397-08002B2CF9AE}" pid="43" name="DocPrefix">
    <vt:lpwstr>Tracking Tool</vt:lpwstr>
  </property>
  <property fmtid="{D5CDD505-2E9C-101B-9397-08002B2CF9AE}" pid="44" name="GEFID">
    <vt:lpwstr>9437</vt:lpwstr>
  </property>
  <property fmtid="{D5CDD505-2E9C-101B-9397-08002B2CF9AE}" pid="45" name="GEFProjectID">
    <vt:lpwstr>01d7ed57-df7c-e811-8124-3863bb2e1360</vt:lpwstr>
  </property>
  <property fmtid="{D5CDD505-2E9C-101B-9397-08002B2CF9AE}" pid="46" name="FocalArea">
    <vt:lpwstr>Multi Focal Area</vt:lpwstr>
  </property>
  <property fmtid="{D5CDD505-2E9C-101B-9397-08002B2CF9AE}" pid="47" name="GEFCountry">
    <vt:lpwstr>Nepal</vt:lpwstr>
  </property>
  <property fmtid="{D5CDD505-2E9C-101B-9397-08002B2CF9AE}" pid="48" name="Classification">
    <vt:lpwstr>Public</vt:lpwstr>
  </property>
  <property fmtid="{D5CDD505-2E9C-101B-9397-08002B2CF9AE}" pid="49" name="DocCategory">
    <vt:lpwstr>M and E Document</vt:lpwstr>
  </property>
  <property fmtid="{D5CDD505-2E9C-101B-9397-08002B2CF9AE}" pid="50" name="DocumentTitle">
    <vt:lpwstr>TrackingTool_all years_Nepal ILaM(2)</vt:lpwstr>
  </property>
  <property fmtid="{D5CDD505-2E9C-101B-9397-08002B2CF9AE}" pid="51" name="ProjectType">
    <vt:lpwstr>FSP</vt:lpwstr>
  </property>
  <property fmtid="{D5CDD505-2E9C-101B-9397-08002B2CF9AE}" pid="52" name="TrustFundType">
    <vt:lpwstr>GET</vt:lpwstr>
  </property>
  <property fmtid="{D5CDD505-2E9C-101B-9397-08002B2CF9AE}" pid="53" name="lcf76f155ced4ddcb4097134ff3c332f">
    <vt:lpwstr/>
  </property>
  <property fmtid="{D5CDD505-2E9C-101B-9397-08002B2CF9AE}" pid="54" name="TaxCatchAll">
    <vt:lpwstr/>
  </property>
  <property fmtid="{D5CDD505-2E9C-101B-9397-08002B2CF9AE}" pid="55" name="ProjectTitle">
    <vt:lpwstr>Integrated Landscape Management to Secure Nepal’s Protected Areas and Critical Corridors</vt:lpwstr>
  </property>
  <property fmtid="{D5CDD505-2E9C-101B-9397-08002B2CF9AE}" pid="56" name="DocType">
    <vt:lpwstr>PIR 5</vt:lpwstr>
  </property>
</Properties>
</file>